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Dashboard" sheetId="1" state="visible" r:id="rId3"/>
    <sheet name="Hazard Module" sheetId="2" state="visible" r:id="rId4"/>
    <sheet name="Exposure" sheetId="3" state="visible" r:id="rId5"/>
    <sheet name="Vulnerability" sheetId="4" state="visible" r:id="rId6"/>
    <sheet name="Financial Module" sheetId="5" state="visible" r:id="rId7"/>
    <sheet name="Stochastic Engine" sheetId="6" state="visible" r:id="rId8"/>
    <sheet name="EP Curves" sheetId="7" state="visible" r:id="rId9"/>
    <sheet name="Sensitivity Analysis" sheetId="8" state="visible" r:id="rId10"/>
    <sheet name="Documentation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<sst xmlns="http://schemas.openxmlformats.org/spreadsheetml/2006/main" count="453" uniqueCount="366">
  <si>
    <t xml:space="preserve">HURRICANE CATASTROPHE MODEL</t>
  </si>
  <si>
    <t xml:space="preserve">Portfolio Risk Analysis - Prototype Model</t>
  </si>
  <si>
    <t xml:space="preserve">KEY RISK METRICS</t>
  </si>
  <si>
    <t xml:space="preserve">MODEL ASSUMPTIONS</t>
  </si>
  <si>
    <t xml:space="preserve">Metric</t>
  </si>
  <si>
    <t xml:space="preserve">Value</t>
  </si>
  <si>
    <t xml:space="preserve">Description</t>
  </si>
  <si>
    <t xml:space="preserve">Parameter</t>
  </si>
  <si>
    <t xml:space="preserve">Total Insured Value (TIV)</t>
  </si>
  <si>
    <t xml:space="preserve">Sum of all property values</t>
  </si>
  <si>
    <t xml:space="preserve">Simulation Years</t>
  </si>
  <si>
    <t xml:space="preserve">Average Annual Loss (AAL)</t>
  </si>
  <si>
    <t xml:space="preserve">Expected annual loss</t>
  </si>
  <si>
    <t xml:space="preserve">Events per Year (λ)</t>
  </si>
  <si>
    <t xml:space="preserve">AAL as % of TIV</t>
  </si>
  <si>
    <t xml:space="preserve">Loss cost ratio</t>
  </si>
  <si>
    <t xml:space="preserve">Wind Speed Model</t>
  </si>
  <si>
    <t xml:space="preserve">Holland B</t>
  </si>
  <si>
    <t xml:space="preserve">1-in-100 Year Loss (OEP)</t>
  </si>
  <si>
    <t xml:space="preserve">VaR at 1% exceedance</t>
  </si>
  <si>
    <t xml:space="preserve">Radius Max Wind Range</t>
  </si>
  <si>
    <t xml:space="preserve">20-50 nm</t>
  </si>
  <si>
    <t xml:space="preserve">1-in-250 Year Loss (OEP)</t>
  </si>
  <si>
    <t xml:space="preserve">Regulatory capital metric</t>
  </si>
  <si>
    <t xml:space="preserve">Central Pressure Range</t>
  </si>
  <si>
    <t xml:space="preserve">920-980 mb</t>
  </si>
  <si>
    <t xml:space="preserve">Tail Value at Risk (TVaR 1%)</t>
  </si>
  <si>
    <t xml:space="preserve">Expected shortfall beyond VaR</t>
  </si>
  <si>
    <t xml:space="preserve">Vulnerability Basis</t>
  </si>
  <si>
    <t xml:space="preserve">HAZUS MH</t>
  </si>
  <si>
    <t xml:space="preserve">Maximum Single Event Loss</t>
  </si>
  <si>
    <t xml:space="preserve">Largest modeled loss</t>
  </si>
  <si>
    <t xml:space="preserve">Standard Deviation</t>
  </si>
  <si>
    <t xml:space="preserve">Annual loss volatility</t>
  </si>
  <si>
    <t xml:space="preserve">PORTFOLIO COMPOSITION</t>
  </si>
  <si>
    <t xml:space="preserve">State</t>
  </si>
  <si>
    <t xml:space="preserve">TIV ($M)</t>
  </si>
  <si>
    <t xml:space="preserve">% of Total</t>
  </si>
  <si>
    <t xml:space="preserve">Property Count</t>
  </si>
  <si>
    <t xml:space="preserve">Florida</t>
  </si>
  <si>
    <t xml:space="preserve">Texas</t>
  </si>
  <si>
    <t xml:space="preserve">Louisiana</t>
  </si>
  <si>
    <t xml:space="preserve">North Carolina</t>
  </si>
  <si>
    <t xml:space="preserve">South Carolina</t>
  </si>
  <si>
    <t xml:space="preserve">HAZARD MODULE - HURRICANE WIND FIELD MODEL</t>
  </si>
  <si>
    <t xml:space="preserve">HOLLAND WIND FIELD MODEL</t>
  </si>
  <si>
    <t xml:space="preserve">STOCHASTIC STORM PARAMETERS</t>
  </si>
  <si>
    <t xml:space="preserve">The Holland (1980) parametric wind model calculates wind speed as a function of distance from storm center:</t>
  </si>
  <si>
    <t xml:space="preserve">Distribution</t>
  </si>
  <si>
    <t xml:space="preserve">Min</t>
  </si>
  <si>
    <t xml:space="preserve">Max</t>
  </si>
  <si>
    <t xml:space="preserve">Mean</t>
  </si>
  <si>
    <t xml:space="preserve">V(r) = √[(B/ρ) × (Rmax/r)^B × (Pn-Pc) × exp(-(Rmax/r)^B) + (r×f/2)²] - (r×f/2)</t>
  </si>
  <si>
    <t xml:space="preserve">Landfall Latitude</t>
  </si>
  <si>
    <t xml:space="preserve">Uniform</t>
  </si>
  <si>
    <t xml:space="preserve">Landfall Longitude</t>
  </si>
  <si>
    <t xml:space="preserve">Symbol</t>
  </si>
  <si>
    <t xml:space="preserve">Units</t>
  </si>
  <si>
    <t xml:space="preserve">Notes</t>
  </si>
  <si>
    <t xml:space="preserve">Central Pressure (mb)</t>
  </si>
  <si>
    <t xml:space="preserve">Triangular</t>
  </si>
  <si>
    <t xml:space="preserve">Central Pressure Deficit</t>
  </si>
  <si>
    <t xml:space="preserve">ΔP</t>
  </si>
  <si>
    <t xml:space="preserve">mb</t>
  </si>
  <si>
    <t xml:space="preserve">Pn - Pc (ambient - central)</t>
  </si>
  <si>
    <t xml:space="preserve">Radius Max Wind (nm)</t>
  </si>
  <si>
    <t xml:space="preserve">LogNormal</t>
  </si>
  <si>
    <t xml:space="preserve">Radius of Maximum Wind</t>
  </si>
  <si>
    <t xml:space="preserve">Rmax</t>
  </si>
  <si>
    <t xml:space="preserve">nm</t>
  </si>
  <si>
    <t xml:space="preserve">Distance to peak winds</t>
  </si>
  <si>
    <t xml:space="preserve">Forward Speed (kt)</t>
  </si>
  <si>
    <t xml:space="preserve">Normal</t>
  </si>
  <si>
    <t xml:space="preserve">Holland B Parameter</t>
  </si>
  <si>
    <t xml:space="preserve">B</t>
  </si>
  <si>
    <t xml:space="preserve">-</t>
  </si>
  <si>
    <t xml:space="preserve">Shape parameter (1.0-2.5)</t>
  </si>
  <si>
    <t xml:space="preserve">Track Heading (°)</t>
  </si>
  <si>
    <t xml:space="preserve">Air Density</t>
  </si>
  <si>
    <t xml:space="preserve">ρ</t>
  </si>
  <si>
    <t xml:space="preserve">kg/m³</t>
  </si>
  <si>
    <t xml:space="preserve">Standard atmospheric</t>
  </si>
  <si>
    <t xml:space="preserve">Coriolis Parameter</t>
  </si>
  <si>
    <t xml:space="preserve">f</t>
  </si>
  <si>
    <t xml:space="preserve">1/s</t>
  </si>
  <si>
    <t xml:space="preserve">At 25°N latitude</t>
  </si>
  <si>
    <t xml:space="preserve">Ambient Pressure</t>
  </si>
  <si>
    <t xml:space="preserve">Pn</t>
  </si>
  <si>
    <t xml:space="preserve">Standard sea level</t>
  </si>
  <si>
    <t xml:space="preserve">WIND SPEED BY DISTANCE FROM CENTER</t>
  </si>
  <si>
    <t xml:space="preserve">Distance (nm)</t>
  </si>
  <si>
    <t xml:space="preserve">Distance (m)</t>
  </si>
  <si>
    <t xml:space="preserve">Wind Speed (m/s)</t>
  </si>
  <si>
    <t xml:space="preserve">Wind Speed (mph)</t>
  </si>
  <si>
    <t xml:space="preserve">Wind Speed (kt)</t>
  </si>
  <si>
    <t xml:space="preserve">Saffir-Simpson</t>
  </si>
  <si>
    <t xml:space="preserve">EXPOSURE MODULE - PROPERTY PORTFOLIO</t>
  </si>
  <si>
    <t xml:space="preserve">ID</t>
  </si>
  <si>
    <t xml:space="preserve">Property Name</t>
  </si>
  <si>
    <t xml:space="preserve">Latitude</t>
  </si>
  <si>
    <t xml:space="preserve">Longitude</t>
  </si>
  <si>
    <t xml:space="preserve">Construction</t>
  </si>
  <si>
    <t xml:space="preserve">Year Built</t>
  </si>
  <si>
    <t xml:space="preserve">TIV ($)</t>
  </si>
  <si>
    <t xml:space="preserve">Occupancy</t>
  </si>
  <si>
    <t xml:space="preserve">Stories</t>
  </si>
  <si>
    <t xml:space="preserve">Distance Coast (mi)</t>
  </si>
  <si>
    <t xml:space="preserve">FL001</t>
  </si>
  <si>
    <t xml:space="preserve">Miami Beach Resort</t>
  </si>
  <si>
    <t xml:space="preserve">Reinforced Concrete</t>
  </si>
  <si>
    <t xml:space="preserve">Hotel</t>
  </si>
  <si>
    <t xml:space="preserve">FL002</t>
  </si>
  <si>
    <t xml:space="preserve">Fort Lauderdale Office Tower</t>
  </si>
  <si>
    <t xml:space="preserve">Steel Frame</t>
  </si>
  <si>
    <t xml:space="preserve">Commercial</t>
  </si>
  <si>
    <t xml:space="preserve">FL003</t>
  </si>
  <si>
    <t xml:space="preserve">Tampa Distribution Center</t>
  </si>
  <si>
    <t xml:space="preserve">Industrial</t>
  </si>
  <si>
    <t xml:space="preserve">FL004</t>
  </si>
  <si>
    <t xml:space="preserve">Orlando Shopping Mall</t>
  </si>
  <si>
    <t xml:space="preserve">Retail</t>
  </si>
  <si>
    <t xml:space="preserve">FL005</t>
  </si>
  <si>
    <t xml:space="preserve">Jacksonville Port Facility</t>
  </si>
  <si>
    <t xml:space="preserve">TX001</t>
  </si>
  <si>
    <t xml:space="preserve">Houston Refinery Complex</t>
  </si>
  <si>
    <t xml:space="preserve">TX002</t>
  </si>
  <si>
    <t xml:space="preserve">Galveston Beach Hotel</t>
  </si>
  <si>
    <t xml:space="preserve">Reinforced Masonry</t>
  </si>
  <si>
    <t xml:space="preserve">TX003</t>
  </si>
  <si>
    <t xml:space="preserve">Corpus Christi Marina</t>
  </si>
  <si>
    <t xml:space="preserve">Wood Frame</t>
  </si>
  <si>
    <t xml:space="preserve">LA001</t>
  </si>
  <si>
    <t xml:space="preserve">New Orleans Convention Ctr</t>
  </si>
  <si>
    <t xml:space="preserve">LA002</t>
  </si>
  <si>
    <t xml:space="preserve">Baton Rouge Office Park</t>
  </si>
  <si>
    <t xml:space="preserve">NC001</t>
  </si>
  <si>
    <t xml:space="preserve">Wilmington Condo Complex</t>
  </si>
  <si>
    <t xml:space="preserve">Residential</t>
  </si>
  <si>
    <t xml:space="preserve">NC002</t>
  </si>
  <si>
    <t xml:space="preserve">Outer Banks Resort</t>
  </si>
  <si>
    <t xml:space="preserve">NC003</t>
  </si>
  <si>
    <t xml:space="preserve">Charlotte Data Center</t>
  </si>
  <si>
    <t xml:space="preserve">Technology</t>
  </si>
  <si>
    <t xml:space="preserve">SC001</t>
  </si>
  <si>
    <t xml:space="preserve">Charleston Historic Hotel</t>
  </si>
  <si>
    <t xml:space="preserve">Unreinforced Masonry</t>
  </si>
  <si>
    <t xml:space="preserve">SC002</t>
  </si>
  <si>
    <t xml:space="preserve">Myrtle Beach Condos</t>
  </si>
  <si>
    <t xml:space="preserve">FL006</t>
  </si>
  <si>
    <t xml:space="preserve">Key West Marina</t>
  </si>
  <si>
    <t xml:space="preserve">FL007</t>
  </si>
  <si>
    <t xml:space="preserve">Palm Beach Estate</t>
  </si>
  <si>
    <t xml:space="preserve">TX004</t>
  </si>
  <si>
    <t xml:space="preserve">Port Arthur Chemical Plant</t>
  </si>
  <si>
    <t xml:space="preserve">LA003</t>
  </si>
  <si>
    <t xml:space="preserve">Lake Charles Casino</t>
  </si>
  <si>
    <t xml:space="preserve">PORTFOLIO SUMMARY</t>
  </si>
  <si>
    <t xml:space="preserve">Total Properties:</t>
  </si>
  <si>
    <t xml:space="preserve">Total TIV:</t>
  </si>
  <si>
    <t xml:space="preserve">Average TIV:</t>
  </si>
  <si>
    <t xml:space="preserve">Coastal Properties (&lt;5mi):</t>
  </si>
  <si>
    <t xml:space="preserve">VULNERABILITY MODULE - DAMAGE FUNCTIONS</t>
  </si>
  <si>
    <t xml:space="preserve">Based on HAZUS-MH Hurricane Model vulnerability curves. Mean Damage Ratio (MDR) as function of peak gust wind speed.</t>
  </si>
  <si>
    <t xml:space="preserve">WIND SPEED TO DAMAGE RATIO CURVES</t>
  </si>
  <si>
    <t xml:space="preserve">DAMAGE LOOKUP FUNCTION</t>
  </si>
  <si>
    <t xml:space="preserve">Reinf. Masonry</t>
  </si>
  <si>
    <t xml:space="preserve">Unreinf. Masonry</t>
  </si>
  <si>
    <t xml:space="preserve">Reinf. Concrete</t>
  </si>
  <si>
    <t xml:space="preserve">Input Wind Speed (mph):</t>
  </si>
  <si>
    <t xml:space="preserve">Construction Type:</t>
  </si>
  <si>
    <t xml:space="preserve">Calculated MDR:</t>
  </si>
  <si>
    <t xml:space="preserve">DAMAGE UNCERTAINTY</t>
  </si>
  <si>
    <t xml:space="preserve">Coefficient of Variation (σ)</t>
  </si>
  <si>
    <t xml:space="preserve">Beta</t>
  </si>
  <si>
    <t xml:space="preserve">Demand Surge Factor</t>
  </si>
  <si>
    <t xml:space="preserve">SECONDARY UNCERTAINTY FACTORS</t>
  </si>
  <si>
    <t xml:space="preserve">Factor</t>
  </si>
  <si>
    <t xml:space="preserve">Low</t>
  </si>
  <si>
    <t xml:space="preserve">Base</t>
  </si>
  <si>
    <t xml:space="preserve">High</t>
  </si>
  <si>
    <t xml:space="preserve">Terrain Roughness</t>
  </si>
  <si>
    <t xml:space="preserve">Exposure category adjustment</t>
  </si>
  <si>
    <t xml:space="preserve">Building Height</t>
  </si>
  <si>
    <t xml:space="preserve">Wind speed increase with elevation</t>
  </si>
  <si>
    <t xml:space="preserve">Opening Protection</t>
  </si>
  <si>
    <t xml:space="preserve">Impact of shutters/protection</t>
  </si>
  <si>
    <t xml:space="preserve">Roof Age</t>
  </si>
  <si>
    <t xml:space="preserve">Degradation over time</t>
  </si>
  <si>
    <t xml:space="preserve">Construction Quality</t>
  </si>
  <si>
    <t xml:space="preserve">Workmanship variation</t>
  </si>
  <si>
    <t xml:space="preserve">FINANCIAL MODULE - POLICY TERMS &amp; REINSURANCE</t>
  </si>
  <si>
    <t xml:space="preserve">POLICY DEDUCTIBLES BY PROPERTY</t>
  </si>
  <si>
    <t xml:space="preserve">Property ID</t>
  </si>
  <si>
    <t xml:space="preserve">Deductible Type</t>
  </si>
  <si>
    <t xml:space="preserve">Deductible %</t>
  </si>
  <si>
    <t xml:space="preserve">Deductible ($)</t>
  </si>
  <si>
    <t xml:space="preserve">Policy Limit ($)</t>
  </si>
  <si>
    <t xml:space="preserve">Sublimit Wind ($)</t>
  </si>
  <si>
    <t xml:space="preserve">Percentage</t>
  </si>
  <si>
    <t xml:space="preserve">REINSURANCE PROGRAM STRUCTURE</t>
  </si>
  <si>
    <t xml:space="preserve">Layer</t>
  </si>
  <si>
    <t xml:space="preserve">Attachment ($M)</t>
  </si>
  <si>
    <t xml:space="preserve">Limit ($M)</t>
  </si>
  <si>
    <t xml:space="preserve">Rate (%)</t>
  </si>
  <si>
    <t xml:space="preserve">Premium ($M)</t>
  </si>
  <si>
    <t xml:space="preserve">ROL (%)</t>
  </si>
  <si>
    <t xml:space="preserve">Retention</t>
  </si>
  <si>
    <t xml:space="preserve">Net retained</t>
  </si>
  <si>
    <t xml:space="preserve">Layer 1</t>
  </si>
  <si>
    <t xml:space="preserve">First excess</t>
  </si>
  <si>
    <t xml:space="preserve">Layer 2</t>
  </si>
  <si>
    <t xml:space="preserve">Second excess</t>
  </si>
  <si>
    <t xml:space="preserve">Layer 3</t>
  </si>
  <si>
    <t xml:space="preserve">Third excess</t>
  </si>
  <si>
    <t xml:space="preserve">Layer 4</t>
  </si>
  <si>
    <t xml:space="preserve">Top layer</t>
  </si>
  <si>
    <t xml:space="preserve">LOSS CALCULATION WATERFALL (SINGLE EVENT EXAMPLE)</t>
  </si>
  <si>
    <t xml:space="preserve">Input: Ground-Up Loss</t>
  </si>
  <si>
    <t xml:space="preserve">Less: Deductibles</t>
  </si>
  <si>
    <t xml:space="preserve">Avg 3% deductible</t>
  </si>
  <si>
    <t xml:space="preserve">Gross Loss</t>
  </si>
  <si>
    <t xml:space="preserve">After deductibles</t>
  </si>
  <si>
    <t xml:space="preserve">Less: Sublimit Excess</t>
  </si>
  <si>
    <t xml:space="preserve">Wind sublimit impact</t>
  </si>
  <si>
    <t xml:space="preserve">Net Gross Loss</t>
  </si>
  <si>
    <t xml:space="preserve">Subject to reinsurance</t>
  </si>
  <si>
    <t xml:space="preserve">Less: Layer 1 Recovery</t>
  </si>
  <si>
    <t xml:space="preserve">xs $25M</t>
  </si>
  <si>
    <t xml:space="preserve">Less: Layer 2 Recovery</t>
  </si>
  <si>
    <t xml:space="preserve">xs $75M</t>
  </si>
  <si>
    <t xml:space="preserve">Less: Layer 3 Recovery</t>
  </si>
  <si>
    <t xml:space="preserve">xs $150M</t>
  </si>
  <si>
    <t xml:space="preserve">Less: Layer 4 Recovery</t>
  </si>
  <si>
    <t xml:space="preserve">xs $250M</t>
  </si>
  <si>
    <t xml:space="preserve">Total RI Recovery</t>
  </si>
  <si>
    <t xml:space="preserve">Net Loss (Retained)</t>
  </si>
  <si>
    <t xml:space="preserve">Final retained loss</t>
  </si>
  <si>
    <t xml:space="preserve">STOCHASTIC ENGINE - MONTE CARLO SIMULATION</t>
  </si>
  <si>
    <t xml:space="preserve">SIMULATION PARAMETERS</t>
  </si>
  <si>
    <t xml:space="preserve">Number of Simulation Years:</t>
  </si>
  <si>
    <t xml:space="preserve">Annual Event Rate (λ):</t>
  </si>
  <si>
    <t xml:space="preserve">Random Seed:</t>
  </si>
  <si>
    <t xml:space="preserve">STOCHASTIC EVENT CATALOG (Sample of 30 Events)</t>
  </si>
  <si>
    <t xml:space="preserve">Event ID</t>
  </si>
  <si>
    <t xml:space="preserve">Year</t>
  </si>
  <si>
    <t xml:space="preserve">Landfall Lat</t>
  </si>
  <si>
    <t xml:space="preserve">Landfall Lon</t>
  </si>
  <si>
    <t xml:space="preserve">Central Press (mb)</t>
  </si>
  <si>
    <t xml:space="preserve">Rmax (nm)</t>
  </si>
  <si>
    <t xml:space="preserve">Peak Wind (mph)</t>
  </si>
  <si>
    <t xml:space="preserve">Ground-Up Loss ($)</t>
  </si>
  <si>
    <t xml:space="preserve">Gross Loss ($)</t>
  </si>
  <si>
    <t xml:space="preserve">Net Loss ($)</t>
  </si>
  <si>
    <t xml:space="preserve">E0013</t>
  </si>
  <si>
    <t xml:space="preserve">E0022</t>
  </si>
  <si>
    <t xml:space="preserve">E0017</t>
  </si>
  <si>
    <t xml:space="preserve">E0011</t>
  </si>
  <si>
    <t xml:space="preserve">E0024</t>
  </si>
  <si>
    <t xml:space="preserve">E0028</t>
  </si>
  <si>
    <t xml:space="preserve">E0003</t>
  </si>
  <si>
    <t xml:space="preserve">E0021</t>
  </si>
  <si>
    <t xml:space="preserve">E0012</t>
  </si>
  <si>
    <t xml:space="preserve">E0018</t>
  </si>
  <si>
    <t xml:space="preserve">E0001</t>
  </si>
  <si>
    <t xml:space="preserve">E0005</t>
  </si>
  <si>
    <t xml:space="preserve">E0010</t>
  </si>
  <si>
    <t xml:space="preserve">E0030</t>
  </si>
  <si>
    <t xml:space="preserve">E0009</t>
  </si>
  <si>
    <t xml:space="preserve">E0006</t>
  </si>
  <si>
    <t xml:space="preserve">E0014</t>
  </si>
  <si>
    <t xml:space="preserve">E0008</t>
  </si>
  <si>
    <t xml:space="preserve">E0020</t>
  </si>
  <si>
    <t xml:space="preserve">E0016</t>
  </si>
  <si>
    <t xml:space="preserve">E0023</t>
  </si>
  <si>
    <t xml:space="preserve">E0007</t>
  </si>
  <si>
    <t xml:space="preserve">E0026</t>
  </si>
  <si>
    <t xml:space="preserve">E0025</t>
  </si>
  <si>
    <t xml:space="preserve">E0019</t>
  </si>
  <si>
    <t xml:space="preserve">E0029</t>
  </si>
  <si>
    <t xml:space="preserve">E0002</t>
  </si>
  <si>
    <t xml:space="preserve">E0027</t>
  </si>
  <si>
    <t xml:space="preserve">E0004</t>
  </si>
  <si>
    <t xml:space="preserve">E0015</t>
  </si>
  <si>
    <t xml:space="preserve">LOSS STATISTICS (Full 10,000 Year Simulation)</t>
  </si>
  <si>
    <t xml:space="preserve">Statistic</t>
  </si>
  <si>
    <t xml:space="preserve">Total Events in Catalog</t>
  </si>
  <si>
    <t xml:space="preserve">Average Events per Year</t>
  </si>
  <si>
    <t xml:space="preserve">Maximum Event Loss</t>
  </si>
  <si>
    <t xml:space="preserve">Coefficient of Variation</t>
  </si>
  <si>
    <t xml:space="preserve">EXCEEDANCE PROBABILITY CURVES</t>
  </si>
  <si>
    <t xml:space="preserve">OEP = Occurrence Exceedance Probability (largest event in year)</t>
  </si>
  <si>
    <t xml:space="preserve">AEP = Aggregate Exceedance Probability (sum of all events in year)</t>
  </si>
  <si>
    <t xml:space="preserve">EXCEEDANCE PROBABILITY TABLE</t>
  </si>
  <si>
    <t xml:space="preserve">Return Period</t>
  </si>
  <si>
    <t xml:space="preserve">Exceedance Prob</t>
  </si>
  <si>
    <t xml:space="preserve">OEP Loss ($M)</t>
  </si>
  <si>
    <t xml:space="preserve">AEP Loss ($M)</t>
  </si>
  <si>
    <t xml:space="preserve">TVaR OEP ($M)</t>
  </si>
  <si>
    <t xml:space="preserve">TVaR AEP ($M)</t>
  </si>
  <si>
    <t xml:space="preserve">50.0%</t>
  </si>
  <si>
    <t xml:space="preserve">20.0%</t>
  </si>
  <si>
    <t xml:space="preserve">10.0%</t>
  </si>
  <si>
    <t xml:space="preserve">4.0%</t>
  </si>
  <si>
    <t xml:space="preserve">2.0%</t>
  </si>
  <si>
    <t xml:space="preserve">1.0%</t>
  </si>
  <si>
    <t xml:space="preserve">0.5%</t>
  </si>
  <si>
    <t xml:space="preserve">0.4%</t>
  </si>
  <si>
    <t xml:space="preserve">0.2%</t>
  </si>
  <si>
    <t xml:space="preserve">0.1%</t>
  </si>
  <si>
    <t xml:space="preserve">CAPITAL ADEQUACY</t>
  </si>
  <si>
    <t xml:space="preserve">OEP</t>
  </si>
  <si>
    <t xml:space="preserve">AEP</t>
  </si>
  <si>
    <t xml:space="preserve">Available Capital ($M):</t>
  </si>
  <si>
    <t xml:space="preserve">1-in-100 Year PML</t>
  </si>
  <si>
    <t xml:space="preserve">1-in-100 OEP / Capital:</t>
  </si>
  <si>
    <t xml:space="preserve">1-in-250 Year PML</t>
  </si>
  <si>
    <t xml:space="preserve">1-in-250 OEP / Capital:</t>
  </si>
  <si>
    <t xml:space="preserve">TVaR 99% (1-in-100)</t>
  </si>
  <si>
    <t xml:space="preserve">TVaR 99% / Capital:</t>
  </si>
  <si>
    <t xml:space="preserve">TVaR 99.6% (1-in-250)</t>
  </si>
  <si>
    <t xml:space="preserve">SENSITIVITY ANALYSIS - RISK DRIVERS</t>
  </si>
  <si>
    <t xml:space="preserve">PARAMETER SENSITIVITY TO 1-IN-100 YEAR LOSS</t>
  </si>
  <si>
    <t xml:space="preserve">Base Case</t>
  </si>
  <si>
    <t xml:space="preserve">-20%</t>
  </si>
  <si>
    <t xml:space="preserve">+20%</t>
  </si>
  <si>
    <t xml:space="preserve">Elasticity</t>
  </si>
  <si>
    <t xml:space="preserve">Rank</t>
  </si>
  <si>
    <t xml:space="preserve">Event Frequency (λ)</t>
  </si>
  <si>
    <t xml:space="preserve">Vulnerability CoV</t>
  </si>
  <si>
    <t xml:space="preserve">Wind Speed Bias</t>
  </si>
  <si>
    <t xml:space="preserve">Demand Surge</t>
  </si>
  <si>
    <t xml:space="preserve">Correlation Factor</t>
  </si>
  <si>
    <t xml:space="preserve">SCENARIO ANALYSIS</t>
  </si>
  <si>
    <t xml:space="preserve">Scenario</t>
  </si>
  <si>
    <t xml:space="preserve">1-in-100 Loss ($M)</t>
  </si>
  <si>
    <t xml:space="preserve">1-in-250 Loss ($M)</t>
  </si>
  <si>
    <t xml:space="preserve">AAL ($M)</t>
  </si>
  <si>
    <t xml:space="preserve">Current model parameters</t>
  </si>
  <si>
    <t xml:space="preserve">Climate Change +10%</t>
  </si>
  <si>
    <t xml:space="preserve">10% increase in wind speeds</t>
  </si>
  <si>
    <t xml:space="preserve">Climate Change +20%</t>
  </si>
  <si>
    <t xml:space="preserve">20% increase in wind speeds</t>
  </si>
  <si>
    <t xml:space="preserve">Portfolio Growth 50%</t>
  </si>
  <si>
    <t xml:space="preserve">TIV increases 50%</t>
  </si>
  <si>
    <t xml:space="preserve">Increased Coastal</t>
  </si>
  <si>
    <t xml:space="preserve">More coastal exposure</t>
  </si>
  <si>
    <t xml:space="preserve">Improved Construction</t>
  </si>
  <si>
    <t xml:space="preserve">Better building codes</t>
  </si>
  <si>
    <t xml:space="preserve">MODEL VALIDATION METRICS</t>
  </si>
  <si>
    <t xml:space="preserve">Model</t>
  </si>
  <si>
    <t xml:space="preserve">Industry Benchmark</t>
  </si>
  <si>
    <t xml:space="preserve">Difference</t>
  </si>
  <si>
    <t xml:space="preserve">AAL / TIV</t>
  </si>
  <si>
    <t xml:space="preserve">1-in-100 / AAL</t>
  </si>
  <si>
    <t xml:space="preserve">CoV of Annual Loss</t>
  </si>
  <si>
    <t xml:space="preserve">Event Freq (Gulf)</t>
  </si>
  <si>
    <t xml:space="preserve">Event Freq (Atlantic)</t>
  </si>
  <si>
    <t xml:space="preserve">MODEL DOCUMENTATION</t>
  </si>
  <si>
    <t xml:space="preserve">MODEL OVERVIEW</t>
  </si>
  <si>
    <t xml:space="preserve">This hurricane catastrophe model prototype demonstrates the four-module architecture used in commercial cat models:
1. HAZARD MODULE - Generates realistic hurricane wind fields using the Holland (1980) parametric model
2. EXPOSURE MODULE - Contains property-level location, construction, and value data
3. VULNERABILITY MODULE - Applies HAZUS-based damage functions by construction type
4. FINANCIAL MODULE - Applies policy terms, deductibles, limits, and reinsurance structures
The model uses Monte Carlo simulation to generate a stochastic event catalog, enabling probabilistic loss estimation.</t>
  </si>
  <si>
    <t xml:space="preserve">KEY ASSUMPTIONS</t>
  </si>
  <si>
    <t xml:space="preserve">• Event frequency follows Poisson process with λ = 1.8 events/year affecting portfolio
• Storm parameters (pressure, Rmax, track) sampled from historical distributions
• Holland B wind field model with standard atmospheric parameters
• Vulnerability curves based on HAZUS-MH Hurricane Model
• Secondary uncertainty modeled with beta distribution (CoV = 0.35)
• Demand surge factor of 1.20 applied to large events
• 10,000 simulation years for stable EP curve estimation</t>
  </si>
  <si>
    <t xml:space="preserve">LIMITATIONS &amp; AREAS FOR ENHANCEMENT</t>
  </si>
  <si>
    <t xml:space="preserve">• Wind field model does not capture asymmetry or filling after landfall
• Storm surge and flood perils not included (wind-only model)
• No post-event loss amplification beyond simple demand surge
• Limited geographic correlation modeling between locations
• Single vulnerability curve per construction type (no occupancy variation)
• No secondary uncertainty in event parameters
• Reinsurance terms simplified (no reinstatements, aggregate limits)
Production model would include: Full track modeling, multi-peril capability, detailed exposure geocoding, 
industry loss triggers, clash modeling, and comprehensive financial structure handling.</t>
  </si>
  <si>
    <t xml:space="preserve">DATA SOURCES</t>
  </si>
  <si>
    <t xml:space="preserve">• Vulnerability curves: FEMA HAZUS-MH Hurricane Model Technical Manual
• Holland wind model: Holland, G.J. (1980). An Analytic Model of the Wind and Pressure Profiles in Hurricanes
• Event frequency: NOAA Historical Hurricane Tracks Database (1900-2023)
• Storm parameter distributions: Vickery et al. (2000) Hurricane Wind Field Model for Use in Hurricane Simulations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</si>
</sst>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General"/>
    <numFmt numFmtId="166" formatCode="0.00%"/>
    <numFmt numFmtId="167" formatCode="\$#,##0.0"/>
    <numFmt numFmtId="168" formatCode="0.0%"/>
    <numFmt numFmtId="169" formatCode="0.0"/>
    <numFmt numFmtId="170" formatCode="\$#,##0"/>
    <numFmt numFmtId="171" formatCode="0.00"/>
    <numFmt numFmtId="172" formatCode="0"/>
    <numFmt numFmtId="173" formatCode="\+0.00;\-0.00;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Cambria"/>
      <family val="0"/>
      <charset val="1"/>
    </font>
    <font>
      <i val="true"/>
      <sz val="12"/>
      <color rgb="FF666666"/>
      <name val="Cambria"/>
      <family val="0"/>
      <charset val="1"/>
    </font>
    <font>
      <b val="true"/>
      <sz val="11"/>
      <color rgb="FF1F4E79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4"/>
      <color rgb="FF1F4E79"/>
      <name val="Cambria"/>
      <family val="0"/>
      <charset val="1"/>
    </font>
    <font>
      <sz val="11"/>
      <color rgb="FF0000FF"/>
      <name val="Cambria"/>
      <family val="0"/>
      <charset val="1"/>
    </font>
    <font>
      <i val="true"/>
      <sz val="10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6DCE5"/>
        <bgColor rgb="FFE2EFDA"/>
      </patternFill>
    </fill>
    <fill>
      <patternFill patternType="solid">
        <fgColor rgb="FF1F4E79"/>
        <bgColor rgb="FF003366"/>
      </patternFill>
    </fill>
    <fill>
      <patternFill patternType="solid">
        <fgColor rgb="FFE2EFDA"/>
        <bgColor rgb="FFD6DCE5"/>
      </patternFill>
    </fill>
    <fill>
      <patternFill patternType="solid">
        <fgColor rgb="FFFFF2CC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15"/>
    <col collapsed="false" customWidth="true" hidden="false" outlineLevel="0" max="6" min="6" style="0" width="3"/>
    <col collapsed="false" customWidth="true" hidden="false" outlineLevel="0" max="7" min="7" style="0" width="22"/>
    <col collapsed="false" customWidth="true" hidden="false" outlineLevel="0" max="8" min="8" style="0" width="18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G4" s="3" t="s">
        <v>3</v>
      </c>
    </row>
    <row r="6" customFormat="false" ht="15" hidden="false" customHeight="false" outlineLevel="0" collapsed="false">
      <c r="B6" s="4" t="s">
        <v>4</v>
      </c>
      <c r="C6" s="4" t="s">
        <v>5</v>
      </c>
      <c r="D6" s="4" t="s">
        <v>6</v>
      </c>
      <c r="G6" s="4" t="s">
        <v>7</v>
      </c>
      <c r="H6" s="4" t="s">
        <v>5</v>
      </c>
    </row>
    <row r="7" customFormat="false" ht="15" hidden="false" customHeight="false" outlineLevel="0" collapsed="false">
      <c r="B7" s="5" t="s">
        <v>8</v>
      </c>
      <c r="C7" s="6" t="n">
        <f aca="false">Exposure!H22</f>
        <v>0</v>
      </c>
      <c r="D7" s="7" t="s">
        <v>9</v>
      </c>
      <c r="G7" s="7" t="s">
        <v>10</v>
      </c>
      <c r="H7" s="7" t="n">
        <f aca="false">'Stochastic Engine'!C4</f>
        <v>10000</v>
      </c>
    </row>
    <row r="8" customFormat="false" ht="15" hidden="false" customHeight="false" outlineLevel="0" collapsed="false">
      <c r="B8" s="5" t="s">
        <v>11</v>
      </c>
      <c r="C8" s="6" t="n">
        <f aca="false">'Stochastic Engine'!G43</f>
        <v>0</v>
      </c>
      <c r="D8" s="7" t="s">
        <v>12</v>
      </c>
      <c r="G8" s="7" t="s">
        <v>13</v>
      </c>
      <c r="H8" s="7" t="n">
        <f aca="false">'Stochastic Engine'!C5</f>
        <v>1.8</v>
      </c>
    </row>
    <row r="9" customFormat="false" ht="15" hidden="false" customHeight="false" outlineLevel="0" collapsed="false">
      <c r="B9" s="5" t="s">
        <v>14</v>
      </c>
      <c r="C9" s="8" t="n">
        <f aca="false">IF(C7=0,0,C8/C7)</f>
        <v>0</v>
      </c>
      <c r="D9" s="7" t="s">
        <v>15</v>
      </c>
      <c r="G9" s="7" t="s">
        <v>16</v>
      </c>
      <c r="H9" s="7" t="s">
        <v>17</v>
      </c>
    </row>
    <row r="10" customFormat="false" ht="15" hidden="false" customHeight="false" outlineLevel="0" collapsed="false">
      <c r="B10" s="5" t="s">
        <v>18</v>
      </c>
      <c r="C10" s="9" t="n">
        <f aca="false">'EP Curves'!D12</f>
        <v>195.2</v>
      </c>
      <c r="D10" s="7" t="s">
        <v>19</v>
      </c>
      <c r="G10" s="7" t="s">
        <v>20</v>
      </c>
      <c r="H10" s="7" t="s">
        <v>21</v>
      </c>
    </row>
    <row r="11" customFormat="false" ht="15" hidden="false" customHeight="false" outlineLevel="0" collapsed="false">
      <c r="B11" s="5" t="s">
        <v>22</v>
      </c>
      <c r="C11" s="9" t="n">
        <f aca="false">'EP Curves'!D14</f>
        <v>385.2</v>
      </c>
      <c r="D11" s="7" t="s">
        <v>23</v>
      </c>
      <c r="G11" s="7" t="s">
        <v>24</v>
      </c>
      <c r="H11" s="7" t="s">
        <v>25</v>
      </c>
    </row>
    <row r="12" customFormat="false" ht="15" hidden="false" customHeight="false" outlineLevel="0" collapsed="false">
      <c r="B12" s="5" t="s">
        <v>26</v>
      </c>
      <c r="C12" s="9" t="n">
        <f aca="false">'EP Curves'!F12</f>
        <v>312.4</v>
      </c>
      <c r="D12" s="7" t="s">
        <v>27</v>
      </c>
      <c r="G12" s="7" t="s">
        <v>28</v>
      </c>
      <c r="H12" s="7" t="s">
        <v>29</v>
      </c>
    </row>
    <row r="13" customFormat="false" ht="15" hidden="false" customHeight="false" outlineLevel="0" collapsed="false">
      <c r="B13" s="5" t="s">
        <v>30</v>
      </c>
      <c r="C13" s="6" t="n">
        <f aca="false">'Stochastic Engine'!G42</f>
        <v>0</v>
      </c>
      <c r="D13" s="7" t="s">
        <v>31</v>
      </c>
    </row>
    <row r="14" customFormat="false" ht="15" hidden="false" customHeight="false" outlineLevel="0" collapsed="false">
      <c r="B14" s="5" t="s">
        <v>32</v>
      </c>
      <c r="C14" s="6" t="n">
        <f aca="false">'Stochastic Engine'!G44</f>
        <v>0</v>
      </c>
      <c r="D14" s="7" t="s">
        <v>33</v>
      </c>
    </row>
    <row r="17" customFormat="false" ht="15" hidden="false" customHeight="false" outlineLevel="0" collapsed="false">
      <c r="A17" s="3" t="s">
        <v>34</v>
      </c>
    </row>
    <row r="19" customFormat="false" ht="15" hidden="false" customHeight="false" outlineLevel="0" collapsed="false">
      <c r="B19" s="4" t="s">
        <v>35</v>
      </c>
      <c r="C19" s="4" t="s">
        <v>36</v>
      </c>
      <c r="D19" s="4" t="s">
        <v>37</v>
      </c>
      <c r="E19" s="4" t="s">
        <v>38</v>
      </c>
    </row>
    <row r="20" customFormat="false" ht="15" hidden="false" customHeight="false" outlineLevel="0" collapsed="false">
      <c r="B20" s="0" t="s">
        <v>39</v>
      </c>
      <c r="C20" s="10" t="n">
        <f aca="false">SUMIF(Exposure!C3:C21,B20,Exposure!H3:H21)/1000000</f>
        <v>378</v>
      </c>
      <c r="D20" s="11" t="n">
        <f aca="false">C20/SUM(C20:C24)</f>
        <v>0.21</v>
      </c>
      <c r="E20" s="12" t="n">
        <f aca="false">COUNTIF(Exposure!C3:C21,B20)</f>
        <v>7</v>
      </c>
    </row>
    <row r="21" customFormat="false" ht="15" hidden="false" customHeight="false" outlineLevel="0" collapsed="false">
      <c r="B21" s="0" t="s">
        <v>40</v>
      </c>
      <c r="C21" s="10" t="n">
        <f aca="false">SUMIF(Exposure!C3:C21,B21,Exposure!H3:H21)/1000000</f>
        <v>813</v>
      </c>
      <c r="D21" s="11" t="n">
        <f aca="false">C21/SUM(C20:C24)</f>
        <v>0.451666666666667</v>
      </c>
      <c r="E21" s="12" t="n">
        <f aca="false">COUNTIF(Exposure!C3:C21,B21)</f>
        <v>4</v>
      </c>
    </row>
    <row r="22" customFormat="false" ht="15" hidden="false" customHeight="false" outlineLevel="0" collapsed="false">
      <c r="B22" s="0" t="s">
        <v>41</v>
      </c>
      <c r="C22" s="10" t="n">
        <f aca="false">SUMIF(Exposure!C3:C21,B22,Exposure!H3:H21)/1000000</f>
        <v>282</v>
      </c>
      <c r="D22" s="11" t="n">
        <f aca="false">C22/SUM(C20:C24)</f>
        <v>0.156666666666667</v>
      </c>
      <c r="E22" s="12" t="n">
        <f aca="false">COUNTIF(Exposure!C3:C21,B22)</f>
        <v>3</v>
      </c>
    </row>
    <row r="23" customFormat="false" ht="15" hidden="false" customHeight="false" outlineLevel="0" collapsed="false">
      <c r="B23" s="0" t="s">
        <v>42</v>
      </c>
      <c r="C23" s="10" t="n">
        <f aca="false">SUMIF(Exposure!C3:C21,B23,Exposure!H3:H21)/1000000</f>
        <v>240</v>
      </c>
      <c r="D23" s="11" t="n">
        <f aca="false">C23/SUM(C20:C24)</f>
        <v>0.133333333333333</v>
      </c>
      <c r="E23" s="12" t="n">
        <f aca="false">COUNTIF(Exposure!C3:C21,B23)</f>
        <v>3</v>
      </c>
    </row>
    <row r="24" customFormat="false" ht="15" hidden="false" customHeight="false" outlineLevel="0" collapsed="false">
      <c r="B24" s="0" t="s">
        <v>43</v>
      </c>
      <c r="C24" s="10" t="n">
        <f aca="false">SUMIF(Exposure!C3:C21,B24,Exposure!H3:H21)/1000000</f>
        <v>87</v>
      </c>
      <c r="D24" s="11" t="n">
        <f aca="false">C24/SUM(C20:C24)</f>
        <v>0.0483333333333333</v>
      </c>
      <c r="E24" s="12" t="n">
        <f aca="false">COUNTIF(Exposure!C3:C21,B24)</f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4" min="3" style="0" width="16"/>
    <col collapsed="false" customWidth="true" hidden="false" outlineLevel="0" max="5" min="5" style="0" width="15"/>
    <col collapsed="false" customWidth="true" hidden="false" outlineLevel="0" max="6" min="6" style="0" width="14"/>
    <col collapsed="false" customWidth="true" hidden="false" outlineLevel="0" max="7" min="7" style="0" width="3"/>
    <col collapsed="false" customWidth="true" hidden="false" outlineLevel="0" max="8" min="8" style="0" width="22"/>
    <col collapsed="false" customWidth="true" hidden="false" outlineLevel="0" max="9" min="9" style="0" width="12"/>
    <col collapsed="false" customWidth="true" hidden="false" outlineLevel="0" max="12" min="10" style="0" width="10"/>
  </cols>
  <sheetData>
    <row r="1" customFormat="false" ht="17.35" hidden="false" customHeight="false" outlineLevel="0" collapsed="false">
      <c r="A1" s="13" t="s">
        <v>44</v>
      </c>
    </row>
    <row r="3" customFormat="false" ht="15" hidden="false" customHeight="false" outlineLevel="0" collapsed="false">
      <c r="A3" s="3" t="s">
        <v>45</v>
      </c>
      <c r="H3" s="3" t="s">
        <v>46</v>
      </c>
    </row>
    <row r="5" customFormat="false" ht="15" hidden="false" customHeight="false" outlineLevel="0" collapsed="false">
      <c r="A5" s="0" t="s">
        <v>47</v>
      </c>
      <c r="H5" s="4" t="s">
        <v>7</v>
      </c>
      <c r="I5" s="4" t="s">
        <v>48</v>
      </c>
      <c r="J5" s="4" t="s">
        <v>49</v>
      </c>
      <c r="K5" s="4" t="s">
        <v>50</v>
      </c>
      <c r="L5" s="4" t="s">
        <v>51</v>
      </c>
    </row>
    <row r="6" customFormat="false" ht="15" hidden="false" customHeight="false" outlineLevel="0" collapsed="false">
      <c r="A6" s="0" t="s">
        <v>52</v>
      </c>
      <c r="H6" s="7" t="s">
        <v>53</v>
      </c>
      <c r="I6" s="7" t="s">
        <v>54</v>
      </c>
      <c r="J6" s="14" t="n">
        <v>25</v>
      </c>
      <c r="K6" s="14" t="n">
        <v>35</v>
      </c>
      <c r="L6" s="14" t="n">
        <v>30</v>
      </c>
    </row>
    <row r="7" customFormat="false" ht="15" hidden="false" customHeight="false" outlineLevel="0" collapsed="false">
      <c r="H7" s="7" t="s">
        <v>55</v>
      </c>
      <c r="I7" s="7" t="s">
        <v>54</v>
      </c>
      <c r="J7" s="14" t="n">
        <v>-97</v>
      </c>
      <c r="K7" s="14" t="n">
        <v>-80</v>
      </c>
      <c r="L7" s="14" t="n">
        <v>-88.5</v>
      </c>
    </row>
    <row r="8" customFormat="false" ht="15" hidden="false" customHeight="false" outlineLevel="0" collapsed="false">
      <c r="A8" s="4" t="s">
        <v>7</v>
      </c>
      <c r="B8" s="4" t="s">
        <v>56</v>
      </c>
      <c r="C8" s="4" t="s">
        <v>5</v>
      </c>
      <c r="D8" s="4" t="s">
        <v>57</v>
      </c>
      <c r="E8" s="4" t="s">
        <v>58</v>
      </c>
      <c r="H8" s="7" t="s">
        <v>59</v>
      </c>
      <c r="I8" s="7" t="s">
        <v>60</v>
      </c>
      <c r="J8" s="14" t="n">
        <v>920</v>
      </c>
      <c r="K8" s="14" t="n">
        <v>980</v>
      </c>
      <c r="L8" s="14" t="n">
        <v>960</v>
      </c>
    </row>
    <row r="9" customFormat="false" ht="15" hidden="false" customHeight="false" outlineLevel="0" collapsed="false">
      <c r="A9" s="7" t="s">
        <v>61</v>
      </c>
      <c r="B9" s="7" t="s">
        <v>62</v>
      </c>
      <c r="C9" s="14" t="n">
        <v>50</v>
      </c>
      <c r="D9" s="7" t="s">
        <v>63</v>
      </c>
      <c r="E9" s="7" t="s">
        <v>64</v>
      </c>
      <c r="H9" s="7" t="s">
        <v>65</v>
      </c>
      <c r="I9" s="7" t="s">
        <v>66</v>
      </c>
      <c r="J9" s="14" t="n">
        <v>15</v>
      </c>
      <c r="K9" s="14" t="n">
        <v>60</v>
      </c>
      <c r="L9" s="14" t="n">
        <v>30</v>
      </c>
    </row>
    <row r="10" customFormat="false" ht="15" hidden="false" customHeight="false" outlineLevel="0" collapsed="false">
      <c r="A10" s="7" t="s">
        <v>67</v>
      </c>
      <c r="B10" s="7" t="s">
        <v>68</v>
      </c>
      <c r="C10" s="14" t="n">
        <v>30</v>
      </c>
      <c r="D10" s="7" t="s">
        <v>69</v>
      </c>
      <c r="E10" s="7" t="s">
        <v>70</v>
      </c>
      <c r="H10" s="7" t="s">
        <v>71</v>
      </c>
      <c r="I10" s="7" t="s">
        <v>72</v>
      </c>
      <c r="J10" s="14" t="n">
        <v>5</v>
      </c>
      <c r="K10" s="14" t="n">
        <v>25</v>
      </c>
      <c r="L10" s="14" t="n">
        <v>12</v>
      </c>
    </row>
    <row r="11" customFormat="false" ht="15" hidden="false" customHeight="false" outlineLevel="0" collapsed="false">
      <c r="A11" s="7" t="s">
        <v>73</v>
      </c>
      <c r="B11" s="7" t="s">
        <v>74</v>
      </c>
      <c r="C11" s="14" t="n">
        <v>1.5</v>
      </c>
      <c r="D11" s="7" t="s">
        <v>75</v>
      </c>
      <c r="E11" s="7" t="s">
        <v>76</v>
      </c>
      <c r="H11" s="7" t="s">
        <v>77</v>
      </c>
      <c r="I11" s="7" t="s">
        <v>72</v>
      </c>
      <c r="J11" s="14" t="n">
        <v>300</v>
      </c>
      <c r="K11" s="14" t="n">
        <v>360</v>
      </c>
      <c r="L11" s="14" t="n">
        <v>330</v>
      </c>
    </row>
    <row r="12" customFormat="false" ht="15" hidden="false" customHeight="false" outlineLevel="0" collapsed="false">
      <c r="A12" s="7" t="s">
        <v>78</v>
      </c>
      <c r="B12" s="7" t="s">
        <v>79</v>
      </c>
      <c r="C12" s="14" t="n">
        <v>1.15</v>
      </c>
      <c r="D12" s="7" t="s">
        <v>80</v>
      </c>
      <c r="E12" s="7" t="s">
        <v>81</v>
      </c>
      <c r="H12" s="7" t="s">
        <v>17</v>
      </c>
      <c r="I12" s="7" t="s">
        <v>60</v>
      </c>
      <c r="J12" s="14" t="n">
        <v>1</v>
      </c>
      <c r="K12" s="14" t="n">
        <v>2.5</v>
      </c>
      <c r="L12" s="14" t="n">
        <v>1.5</v>
      </c>
    </row>
    <row r="13" customFormat="false" ht="15" hidden="false" customHeight="false" outlineLevel="0" collapsed="false">
      <c r="A13" s="7" t="s">
        <v>82</v>
      </c>
      <c r="B13" s="7" t="s">
        <v>83</v>
      </c>
      <c r="C13" s="14" t="n">
        <v>5E-005</v>
      </c>
      <c r="D13" s="7" t="s">
        <v>84</v>
      </c>
      <c r="E13" s="7" t="s">
        <v>85</v>
      </c>
    </row>
    <row r="14" customFormat="false" ht="15" hidden="false" customHeight="false" outlineLevel="0" collapsed="false">
      <c r="A14" s="7" t="s">
        <v>86</v>
      </c>
      <c r="B14" s="7" t="s">
        <v>87</v>
      </c>
      <c r="C14" s="14" t="n">
        <v>1013</v>
      </c>
      <c r="D14" s="7" t="s">
        <v>63</v>
      </c>
      <c r="E14" s="7" t="s">
        <v>88</v>
      </c>
    </row>
    <row r="17" customFormat="false" ht="15" hidden="false" customHeight="false" outlineLevel="0" collapsed="false">
      <c r="A17" s="3" t="s">
        <v>89</v>
      </c>
    </row>
    <row r="19" customFormat="false" ht="28.35" hidden="false" customHeight="false" outlineLevel="0" collapsed="false">
      <c r="A19" s="4" t="s">
        <v>90</v>
      </c>
      <c r="B19" s="4" t="s">
        <v>91</v>
      </c>
      <c r="C19" s="4" t="s">
        <v>92</v>
      </c>
      <c r="D19" s="4" t="s">
        <v>93</v>
      </c>
      <c r="E19" s="4" t="s">
        <v>94</v>
      </c>
      <c r="F19" s="4" t="s">
        <v>95</v>
      </c>
    </row>
    <row r="20" customFormat="false" ht="15" hidden="false" customHeight="false" outlineLevel="0" collapsed="false">
      <c r="A20" s="12" t="n">
        <v>5</v>
      </c>
      <c r="B20" s="12" t="n">
        <f aca="false">A20*1852</f>
        <v>9260</v>
      </c>
      <c r="C20" s="15" t="n">
        <f aca="false">IF(A20&lt;=0,0,SQRT(($C$9*100/$C$12)*(($C$10/A20)^$C$11)*EXP(1-($C$10/A20)^$C$11)))</f>
        <v>0.268223684775717</v>
      </c>
      <c r="D20" s="15" t="n">
        <f aca="false">C20*2.237</f>
        <v>0.600016382843278</v>
      </c>
      <c r="E20" s="15" t="n">
        <f aca="false">C20*1.944</f>
        <v>0.521426843203993</v>
      </c>
      <c r="F20" s="12" t="str">
        <f aca="false">IF(D20&gt;=157,"Cat 5",IF(D20&gt;=130,"Cat 4",IF(D20&gt;=111,"Cat 3",IF(D20&gt;=96,"Cat 2",IF(D20&gt;=74,"Cat 1","TS/TD")))))</f>
        <v>TS/TD</v>
      </c>
    </row>
    <row r="21" customFormat="false" ht="15" hidden="false" customHeight="false" outlineLevel="0" collapsed="false">
      <c r="A21" s="12" t="n">
        <v>10</v>
      </c>
      <c r="B21" s="12" t="n">
        <f aca="false">A21*1852</f>
        <v>18520</v>
      </c>
      <c r="C21" s="15" t="n">
        <f aca="false">IF(A21&lt;=0,0,SQRT(($C$9*100/$C$12)*(($C$10/A21)^$C$11)*EXP(1-($C$10/A21)^$C$11)))</f>
        <v>18.4414090826294</v>
      </c>
      <c r="D21" s="15" t="n">
        <f aca="false">C21*2.237</f>
        <v>41.2534321178419</v>
      </c>
      <c r="E21" s="15" t="n">
        <f aca="false">C21*1.944</f>
        <v>35.8500992566315</v>
      </c>
      <c r="F21" s="12" t="str">
        <f aca="false">IF(D21&gt;=157,"Cat 5",IF(D21&gt;=130,"Cat 4",IF(D21&gt;=111,"Cat 3",IF(D21&gt;=96,"Cat 2",IF(D21&gt;=74,"Cat 1","TS/TD")))))</f>
        <v>TS/TD</v>
      </c>
    </row>
    <row r="22" customFormat="false" ht="15" hidden="false" customHeight="false" outlineLevel="0" collapsed="false">
      <c r="A22" s="12" t="n">
        <v>15</v>
      </c>
      <c r="B22" s="12" t="n">
        <f aca="false">A22*1852</f>
        <v>27780</v>
      </c>
      <c r="C22" s="15" t="n">
        <f aca="false">IF(A22&lt;=0,0,SQRT(($C$9*100/$C$12)*(($C$10/A22)^$C$11)*EXP(1-($C$10/A22)^$C$11)))</f>
        <v>44.4498882353934</v>
      </c>
      <c r="D22" s="15" t="n">
        <f aca="false">C22*2.237</f>
        <v>99.4343999825751</v>
      </c>
      <c r="E22" s="15" t="n">
        <f aca="false">C22*1.944</f>
        <v>86.4105827296048</v>
      </c>
      <c r="F22" s="12" t="str">
        <f aca="false">IF(D22&gt;=157,"Cat 5",IF(D22&gt;=130,"Cat 4",IF(D22&gt;=111,"Cat 3",IF(D22&gt;=96,"Cat 2",IF(D22&gt;=74,"Cat 1","TS/TD")))))</f>
        <v>Cat 2</v>
      </c>
    </row>
    <row r="23" customFormat="false" ht="15" hidden="false" customHeight="false" outlineLevel="0" collapsed="false">
      <c r="A23" s="12" t="n">
        <v>20</v>
      </c>
      <c r="B23" s="12" t="n">
        <f aca="false">A23*1852</f>
        <v>37040</v>
      </c>
      <c r="C23" s="15" t="n">
        <f aca="false">IF(A23&lt;=0,0,SQRT(($C$9*100/$C$12)*(($C$10/A23)^$C$11)*EXP(1-($C$10/A23)^$C$11)))</f>
        <v>58.8067004743621</v>
      </c>
      <c r="D23" s="15" t="n">
        <f aca="false">C23*2.237</f>
        <v>131.550588961148</v>
      </c>
      <c r="E23" s="15" t="n">
        <f aca="false">C23*1.944</f>
        <v>114.32022572216</v>
      </c>
      <c r="F23" s="12" t="str">
        <f aca="false">IF(D23&gt;=157,"Cat 5",IF(D23&gt;=130,"Cat 4",IF(D23&gt;=111,"Cat 3",IF(D23&gt;=96,"Cat 2",IF(D23&gt;=74,"Cat 1","TS/TD")))))</f>
        <v>Cat 4</v>
      </c>
    </row>
    <row r="24" customFormat="false" ht="15" hidden="false" customHeight="false" outlineLevel="0" collapsed="false">
      <c r="A24" s="12" t="n">
        <v>25</v>
      </c>
      <c r="B24" s="12" t="n">
        <f aca="false">A24*1852</f>
        <v>46300</v>
      </c>
      <c r="C24" s="15" t="n">
        <f aca="false">IF(A24&lt;=0,0,SQRT(($C$9*100/$C$12)*(($C$10/A24)^$C$11)*EXP(1-($C$10/A24)^$C$11)))</f>
        <v>64.5984051956388</v>
      </c>
      <c r="D24" s="15" t="n">
        <f aca="false">C24*2.237</f>
        <v>144.506632422644</v>
      </c>
      <c r="E24" s="15" t="n">
        <f aca="false">C24*1.944</f>
        <v>125.579299700322</v>
      </c>
      <c r="F24" s="12" t="str">
        <f aca="false">IF(D24&gt;=157,"Cat 5",IF(D24&gt;=130,"Cat 4",IF(D24&gt;=111,"Cat 3",IF(D24&gt;=96,"Cat 2",IF(D24&gt;=74,"Cat 1","TS/TD")))))</f>
        <v>Cat 4</v>
      </c>
    </row>
    <row r="25" customFormat="false" ht="15" hidden="false" customHeight="false" outlineLevel="0" collapsed="false">
      <c r="A25" s="12" t="n">
        <v>30</v>
      </c>
      <c r="B25" s="12" t="n">
        <f aca="false">A25*1852</f>
        <v>55560</v>
      </c>
      <c r="C25" s="15" t="n">
        <f aca="false">IF(A25&lt;=0,0,SQRT(($C$9*100/$C$12)*(($C$10/A25)^$C$11)*EXP(1-($C$10/A25)^$C$11)))</f>
        <v>65.9380473395787</v>
      </c>
      <c r="D25" s="15" t="n">
        <f aca="false">C25*2.237</f>
        <v>147.503411898638</v>
      </c>
      <c r="E25" s="15" t="n">
        <f aca="false">C25*1.944</f>
        <v>128.183564028141</v>
      </c>
      <c r="F25" s="12" t="str">
        <f aca="false">IF(D25&gt;=157,"Cat 5",IF(D25&gt;=130,"Cat 4",IF(D25&gt;=111,"Cat 3",IF(D25&gt;=96,"Cat 2",IF(D25&gt;=74,"Cat 1","TS/TD")))))</f>
        <v>Cat 4</v>
      </c>
    </row>
    <row r="26" customFormat="false" ht="15" hidden="false" customHeight="false" outlineLevel="0" collapsed="false">
      <c r="A26" s="12" t="n">
        <v>35</v>
      </c>
      <c r="B26" s="12" t="n">
        <f aca="false">A26*1852</f>
        <v>64820</v>
      </c>
      <c r="C26" s="15" t="n">
        <f aca="false">IF(A26&lt;=0,0,SQRT(($C$9*100/$C$12)*(($C$10/A26)^$C$11)*EXP(1-($C$10/A26)^$C$11)))</f>
        <v>65.1259164335235</v>
      </c>
      <c r="D26" s="15" t="n">
        <f aca="false">C26*2.237</f>
        <v>145.686675061792</v>
      </c>
      <c r="E26" s="15" t="n">
        <f aca="false">C26*1.944</f>
        <v>126.60478154677</v>
      </c>
      <c r="F26" s="12" t="str">
        <f aca="false">IF(D26&gt;=157,"Cat 5",IF(D26&gt;=130,"Cat 4",IF(D26&gt;=111,"Cat 3",IF(D26&gt;=96,"Cat 2",IF(D26&gt;=74,"Cat 1","TS/TD")))))</f>
        <v>Cat 4</v>
      </c>
    </row>
    <row r="27" customFormat="false" ht="15" hidden="false" customHeight="false" outlineLevel="0" collapsed="false">
      <c r="A27" s="12" t="n">
        <v>40</v>
      </c>
      <c r="B27" s="12" t="n">
        <f aca="false">A27*1852</f>
        <v>74080</v>
      </c>
      <c r="C27" s="15" t="n">
        <f aca="false">IF(A27&lt;=0,0,SQRT(($C$9*100/$C$12)*(($C$10/A27)^$C$11)*EXP(1-($C$10/A27)^$C$11)))</f>
        <v>63.3195763114503</v>
      </c>
      <c r="D27" s="15" t="n">
        <f aca="false">C27*2.237</f>
        <v>141.645892208714</v>
      </c>
      <c r="E27" s="15" t="n">
        <f aca="false">C27*1.944</f>
        <v>123.093256349459</v>
      </c>
      <c r="F27" s="12" t="str">
        <f aca="false">IF(D27&gt;=157,"Cat 5",IF(D27&gt;=130,"Cat 4",IF(D27&gt;=111,"Cat 3",IF(D27&gt;=96,"Cat 2",IF(D27&gt;=74,"Cat 1","TS/TD")))))</f>
        <v>Cat 4</v>
      </c>
    </row>
    <row r="28" customFormat="false" ht="15" hidden="false" customHeight="false" outlineLevel="0" collapsed="false">
      <c r="A28" s="12" t="n">
        <v>50</v>
      </c>
      <c r="B28" s="12" t="n">
        <f aca="false">A28*1852</f>
        <v>92600</v>
      </c>
      <c r="C28" s="15" t="n">
        <f aca="false">IF(A28&lt;=0,0,SQRT(($C$9*100/$C$12)*(($C$10/A28)^$C$11)*EXP(1-($C$10/A28)^$C$11)))</f>
        <v>58.7456675175918</v>
      </c>
      <c r="D28" s="15" t="n">
        <f aca="false">C28*2.237</f>
        <v>131.414058236853</v>
      </c>
      <c r="E28" s="15" t="n">
        <f aca="false">C28*1.944</f>
        <v>114.201577654198</v>
      </c>
      <c r="F28" s="12" t="str">
        <f aca="false">IF(D28&gt;=157,"Cat 5",IF(D28&gt;=130,"Cat 4",IF(D28&gt;=111,"Cat 3",IF(D28&gt;=96,"Cat 2",IF(D28&gt;=74,"Cat 1","TS/TD")))))</f>
        <v>Cat 4</v>
      </c>
    </row>
    <row r="29" customFormat="false" ht="15" hidden="false" customHeight="false" outlineLevel="0" collapsed="false">
      <c r="A29" s="12" t="n">
        <v>60</v>
      </c>
      <c r="B29" s="12" t="n">
        <f aca="false">A29*1852</f>
        <v>111120</v>
      </c>
      <c r="C29" s="15" t="n">
        <f aca="false">IF(A29&lt;=0,0,SQRT(($C$9*100/$C$12)*(($C$10/A29)^$C$11)*EXP(1-($C$10/A29)^$C$11)))</f>
        <v>54.1673616674978</v>
      </c>
      <c r="D29" s="15" t="n">
        <f aca="false">C29*2.237</f>
        <v>121.172388050193</v>
      </c>
      <c r="E29" s="15" t="n">
        <f aca="false">C29*1.944</f>
        <v>105.301351081616</v>
      </c>
      <c r="F29" s="12" t="str">
        <f aca="false">IF(D29&gt;=157,"Cat 5",IF(D29&gt;=130,"Cat 4",IF(D29&gt;=111,"Cat 3",IF(D29&gt;=96,"Cat 2",IF(D29&gt;=74,"Cat 1","TS/TD")))))</f>
        <v>Cat 3</v>
      </c>
    </row>
    <row r="30" customFormat="false" ht="15" hidden="false" customHeight="false" outlineLevel="0" collapsed="false">
      <c r="A30" s="12" t="n">
        <v>80</v>
      </c>
      <c r="B30" s="12" t="n">
        <f aca="false">A30*1852</f>
        <v>148160</v>
      </c>
      <c r="C30" s="15" t="n">
        <f aca="false">IF(A30&lt;=0,0,SQRT(($C$9*100/$C$12)*(($C$10/A30)^$C$11)*EXP(1-($C$10/A30)^$C$11)))</f>
        <v>46.4452339082588</v>
      </c>
      <c r="D30" s="15" t="n">
        <f aca="false">C30*2.237</f>
        <v>103.897988252775</v>
      </c>
      <c r="E30" s="15" t="n">
        <f aca="false">C30*1.944</f>
        <v>90.2895347176551</v>
      </c>
      <c r="F30" s="12" t="str">
        <f aca="false">IF(D30&gt;=157,"Cat 5",IF(D30&gt;=130,"Cat 4",IF(D30&gt;=111,"Cat 3",IF(D30&gt;=96,"Cat 2",IF(D30&gt;=74,"Cat 1","TS/TD")))))</f>
        <v>Cat 2</v>
      </c>
    </row>
    <row r="31" customFormat="false" ht="15" hidden="false" customHeight="false" outlineLevel="0" collapsed="false">
      <c r="A31" s="12" t="n">
        <v>100</v>
      </c>
      <c r="B31" s="12" t="n">
        <f aca="false">A31*1852</f>
        <v>185200</v>
      </c>
      <c r="C31" s="15" t="n">
        <f aca="false">IF(A31&lt;=0,0,SQRT(($C$9*100/$C$12)*(($C$10/A31)^$C$11)*EXP(1-($C$10/A31)^$C$11)))</f>
        <v>40.5922693204266</v>
      </c>
      <c r="D31" s="15" t="n">
        <f aca="false">C31*2.237</f>
        <v>90.8049064697943</v>
      </c>
      <c r="E31" s="15" t="n">
        <f aca="false">C31*1.944</f>
        <v>78.9113715589093</v>
      </c>
      <c r="F31" s="12" t="str">
        <f aca="false">IF(D31&gt;=157,"Cat 5",IF(D31&gt;=130,"Cat 4",IF(D31&gt;=111,"Cat 3",IF(D31&gt;=96,"Cat 2",IF(D31&gt;=74,"Cat 1","TS/TD")))))</f>
        <v>Cat 1</v>
      </c>
    </row>
    <row r="32" customFormat="false" ht="15" hidden="false" customHeight="false" outlineLevel="0" collapsed="false">
      <c r="A32" s="12" t="n">
        <v>150</v>
      </c>
      <c r="B32" s="12" t="n">
        <f aca="false">A32*1852</f>
        <v>277800</v>
      </c>
      <c r="C32" s="15" t="n">
        <f aca="false">IF(A32&lt;=0,0,SQRT(($C$9*100/$C$12)*(($C$10/A32)^$C$11)*EXP(1-($C$10/A32)^$C$11)))</f>
        <v>31.0909204820213</v>
      </c>
      <c r="D32" s="15" t="n">
        <f aca="false">C32*2.237</f>
        <v>69.5503891182816</v>
      </c>
      <c r="E32" s="15" t="n">
        <f aca="false">C32*1.944</f>
        <v>60.4407494170494</v>
      </c>
      <c r="F32" s="12" t="str">
        <f aca="false">IF(D32&gt;=157,"Cat 5",IF(D32&gt;=130,"Cat 4",IF(D32&gt;=111,"Cat 3",IF(D32&gt;=96,"Cat 2",IF(D32&gt;=74,"Cat 1","TS/TD")))))</f>
        <v>TS/TD</v>
      </c>
    </row>
    <row r="33" customFormat="false" ht="15" hidden="false" customHeight="false" outlineLevel="0" collapsed="false">
      <c r="A33" s="12" t="n">
        <v>200</v>
      </c>
      <c r="B33" s="12" t="n">
        <f aca="false">A33*1852</f>
        <v>370400</v>
      </c>
      <c r="C33" s="15" t="n">
        <f aca="false">IF(A33&lt;=0,0,SQRT(($C$9*100/$C$12)*(($C$10/A33)^$C$11)*EXP(1-($C$10/A33)^$C$11)))</f>
        <v>25.4528637381771</v>
      </c>
      <c r="D33" s="15" t="n">
        <f aca="false">C33*2.237</f>
        <v>56.9380561823021</v>
      </c>
      <c r="E33" s="15" t="n">
        <f aca="false">C33*1.944</f>
        <v>49.4803671070162</v>
      </c>
      <c r="F33" s="12" t="str">
        <f aca="false">IF(D33&gt;=157,"Cat 5",IF(D33&gt;=130,"Cat 4",IF(D33&gt;=111,"Cat 3",IF(D33&gt;=96,"Cat 2",IF(D33&gt;=74,"Cat 1","TS/TD")))))</f>
        <v>TS/TD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8"/>
    <col collapsed="false" customWidth="true" hidden="false" outlineLevel="0" max="3" min="3" style="0" width="15"/>
    <col collapsed="false" customWidth="true" hidden="false" outlineLevel="0" max="4" min="4" style="0" width="10"/>
    <col collapsed="false" customWidth="true" hidden="false" outlineLevel="0" max="5" min="5" style="0" width="11"/>
    <col collapsed="false" customWidth="true" hidden="false" outlineLevel="0" max="6" min="6" style="0" width="20"/>
    <col collapsed="false" customWidth="true" hidden="false" outlineLevel="0" max="7" min="7" style="0" width="10"/>
    <col collapsed="false" customWidth="true" hidden="false" outlineLevel="0" max="8" min="8" style="0" width="15"/>
    <col collapsed="false" customWidth="true" hidden="false" outlineLevel="0" max="9" min="9" style="0" width="12"/>
    <col collapsed="false" customWidth="true" hidden="false" outlineLevel="0" max="10" min="10" style="0" width="8"/>
    <col collapsed="false" customWidth="true" hidden="false" outlineLevel="0" max="11" min="11" style="0" width="18"/>
  </cols>
  <sheetData>
    <row r="1" customFormat="false" ht="17.35" hidden="false" customHeight="false" outlineLevel="0" collapsed="false">
      <c r="A1" s="13" t="s">
        <v>96</v>
      </c>
    </row>
    <row r="2" customFormat="false" ht="28.35" hidden="false" customHeight="false" outlineLevel="0" collapsed="false">
      <c r="A2" s="4" t="s">
        <v>97</v>
      </c>
      <c r="B2" s="4" t="s">
        <v>98</v>
      </c>
      <c r="C2" s="4" t="s">
        <v>35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4" t="s">
        <v>106</v>
      </c>
    </row>
    <row r="3" customFormat="false" ht="15" hidden="false" customHeight="false" outlineLevel="0" collapsed="false">
      <c r="A3" s="7" t="s">
        <v>107</v>
      </c>
      <c r="B3" s="7" t="s">
        <v>108</v>
      </c>
      <c r="C3" s="7" t="s">
        <v>39</v>
      </c>
      <c r="D3" s="7" t="n">
        <v>25.7907</v>
      </c>
      <c r="E3" s="7" t="n">
        <v>-80.13</v>
      </c>
      <c r="F3" s="7" t="s">
        <v>109</v>
      </c>
      <c r="G3" s="7" t="n">
        <v>2015</v>
      </c>
      <c r="H3" s="16" t="n">
        <v>45000000</v>
      </c>
      <c r="I3" s="7" t="s">
        <v>110</v>
      </c>
      <c r="J3" s="7" t="n">
        <v>12</v>
      </c>
      <c r="K3" s="7" t="n">
        <v>0.2</v>
      </c>
    </row>
    <row r="4" customFormat="false" ht="15" hidden="false" customHeight="false" outlineLevel="0" collapsed="false">
      <c r="A4" s="7" t="s">
        <v>111</v>
      </c>
      <c r="B4" s="7" t="s">
        <v>112</v>
      </c>
      <c r="C4" s="7" t="s">
        <v>39</v>
      </c>
      <c r="D4" s="7" t="n">
        <v>26.1224</v>
      </c>
      <c r="E4" s="7" t="n">
        <v>-80.1373</v>
      </c>
      <c r="F4" s="7" t="s">
        <v>113</v>
      </c>
      <c r="G4" s="7" t="n">
        <v>2010</v>
      </c>
      <c r="H4" s="16" t="n">
        <v>78000000</v>
      </c>
      <c r="I4" s="7" t="s">
        <v>114</v>
      </c>
      <c r="J4" s="7" t="n">
        <v>25</v>
      </c>
      <c r="K4" s="7" t="n">
        <v>1.5</v>
      </c>
    </row>
    <row r="5" customFormat="false" ht="15" hidden="false" customHeight="false" outlineLevel="0" collapsed="false">
      <c r="A5" s="7" t="s">
        <v>115</v>
      </c>
      <c r="B5" s="7" t="s">
        <v>116</v>
      </c>
      <c r="C5" s="7" t="s">
        <v>39</v>
      </c>
      <c r="D5" s="7" t="n">
        <v>27.9506</v>
      </c>
      <c r="E5" s="7" t="n">
        <v>-82.4572</v>
      </c>
      <c r="F5" s="7" t="s">
        <v>113</v>
      </c>
      <c r="G5" s="7" t="n">
        <v>2018</v>
      </c>
      <c r="H5" s="16" t="n">
        <v>32000000</v>
      </c>
      <c r="I5" s="7" t="s">
        <v>117</v>
      </c>
      <c r="J5" s="7" t="n">
        <v>1</v>
      </c>
      <c r="K5" s="7" t="n">
        <v>8</v>
      </c>
    </row>
    <row r="6" customFormat="false" ht="15" hidden="false" customHeight="false" outlineLevel="0" collapsed="false">
      <c r="A6" s="7" t="s">
        <v>118</v>
      </c>
      <c r="B6" s="7" t="s">
        <v>119</v>
      </c>
      <c r="C6" s="7" t="s">
        <v>39</v>
      </c>
      <c r="D6" s="7" t="n">
        <v>28.5383</v>
      </c>
      <c r="E6" s="7" t="n">
        <v>-81.3792</v>
      </c>
      <c r="F6" s="7" t="s">
        <v>109</v>
      </c>
      <c r="G6" s="7" t="n">
        <v>2005</v>
      </c>
      <c r="H6" s="16" t="n">
        <v>125000000</v>
      </c>
      <c r="I6" s="7" t="s">
        <v>120</v>
      </c>
      <c r="J6" s="7" t="n">
        <v>2</v>
      </c>
      <c r="K6" s="7" t="n">
        <v>55</v>
      </c>
    </row>
    <row r="7" customFormat="false" ht="15" hidden="false" customHeight="false" outlineLevel="0" collapsed="false">
      <c r="A7" s="7" t="s">
        <v>121</v>
      </c>
      <c r="B7" s="7" t="s">
        <v>122</v>
      </c>
      <c r="C7" s="7" t="s">
        <v>39</v>
      </c>
      <c r="D7" s="7" t="n">
        <v>30.3322</v>
      </c>
      <c r="E7" s="7" t="n">
        <v>-81.6557</v>
      </c>
      <c r="F7" s="7" t="s">
        <v>113</v>
      </c>
      <c r="G7" s="7" t="n">
        <v>2012</v>
      </c>
      <c r="H7" s="16" t="n">
        <v>55000000</v>
      </c>
      <c r="I7" s="7" t="s">
        <v>117</v>
      </c>
      <c r="J7" s="7" t="n">
        <v>1</v>
      </c>
      <c r="K7" s="7" t="n">
        <v>15</v>
      </c>
    </row>
    <row r="8" customFormat="false" ht="15" hidden="false" customHeight="false" outlineLevel="0" collapsed="false">
      <c r="A8" s="7" t="s">
        <v>123</v>
      </c>
      <c r="B8" s="7" t="s">
        <v>124</v>
      </c>
      <c r="C8" s="7" t="s">
        <v>40</v>
      </c>
      <c r="D8" s="7" t="n">
        <v>29.7604</v>
      </c>
      <c r="E8" s="7" t="n">
        <v>-95.3698</v>
      </c>
      <c r="F8" s="7" t="s">
        <v>113</v>
      </c>
      <c r="G8" s="7" t="n">
        <v>1995</v>
      </c>
      <c r="H8" s="16" t="n">
        <v>450000000</v>
      </c>
      <c r="I8" s="7" t="s">
        <v>117</v>
      </c>
      <c r="J8" s="7" t="n">
        <v>3</v>
      </c>
      <c r="K8" s="7" t="n">
        <v>45</v>
      </c>
    </row>
    <row r="9" customFormat="false" ht="15" hidden="false" customHeight="false" outlineLevel="0" collapsed="false">
      <c r="A9" s="7" t="s">
        <v>125</v>
      </c>
      <c r="B9" s="7" t="s">
        <v>126</v>
      </c>
      <c r="C9" s="7" t="s">
        <v>40</v>
      </c>
      <c r="D9" s="7" t="n">
        <v>29.3013</v>
      </c>
      <c r="E9" s="7" t="n">
        <v>-94.7977</v>
      </c>
      <c r="F9" s="7" t="s">
        <v>127</v>
      </c>
      <c r="G9" s="7" t="n">
        <v>2008</v>
      </c>
      <c r="H9" s="16" t="n">
        <v>28000000</v>
      </c>
      <c r="I9" s="7" t="s">
        <v>110</v>
      </c>
      <c r="J9" s="7" t="n">
        <v>8</v>
      </c>
      <c r="K9" s="7" t="n">
        <v>0.1</v>
      </c>
    </row>
    <row r="10" customFormat="false" ht="15" hidden="false" customHeight="false" outlineLevel="0" collapsed="false">
      <c r="A10" s="7" t="s">
        <v>128</v>
      </c>
      <c r="B10" s="7" t="s">
        <v>129</v>
      </c>
      <c r="C10" s="7" t="s">
        <v>40</v>
      </c>
      <c r="D10" s="7" t="n">
        <v>27.8006</v>
      </c>
      <c r="E10" s="7" t="n">
        <v>-97.3964</v>
      </c>
      <c r="F10" s="7" t="s">
        <v>130</v>
      </c>
      <c r="G10" s="7" t="n">
        <v>2000</v>
      </c>
      <c r="H10" s="16" t="n">
        <v>15000000</v>
      </c>
      <c r="I10" s="7" t="s">
        <v>114</v>
      </c>
      <c r="J10" s="7" t="n">
        <v>1</v>
      </c>
      <c r="K10" s="7" t="n">
        <v>0.3</v>
      </c>
    </row>
    <row r="11" customFormat="false" ht="15" hidden="false" customHeight="false" outlineLevel="0" collapsed="false">
      <c r="A11" s="7" t="s">
        <v>131</v>
      </c>
      <c r="B11" s="7" t="s">
        <v>132</v>
      </c>
      <c r="C11" s="7" t="s">
        <v>41</v>
      </c>
      <c r="D11" s="7" t="n">
        <v>29.943</v>
      </c>
      <c r="E11" s="7" t="n">
        <v>-90.0628</v>
      </c>
      <c r="F11" s="7" t="s">
        <v>109</v>
      </c>
      <c r="G11" s="7" t="n">
        <v>1984</v>
      </c>
      <c r="H11" s="16" t="n">
        <v>95000000</v>
      </c>
      <c r="I11" s="7" t="s">
        <v>114</v>
      </c>
      <c r="J11" s="7" t="n">
        <v>4</v>
      </c>
      <c r="K11" s="7" t="n">
        <v>2</v>
      </c>
    </row>
    <row r="12" customFormat="false" ht="15" hidden="false" customHeight="false" outlineLevel="0" collapsed="false">
      <c r="A12" s="7" t="s">
        <v>133</v>
      </c>
      <c r="B12" s="7" t="s">
        <v>134</v>
      </c>
      <c r="C12" s="7" t="s">
        <v>41</v>
      </c>
      <c r="D12" s="7" t="n">
        <v>30.4583</v>
      </c>
      <c r="E12" s="7" t="n">
        <v>-91.1403</v>
      </c>
      <c r="F12" s="7" t="s">
        <v>113</v>
      </c>
      <c r="G12" s="7" t="n">
        <v>2016</v>
      </c>
      <c r="H12" s="16" t="n">
        <v>42000000</v>
      </c>
      <c r="I12" s="7" t="s">
        <v>114</v>
      </c>
      <c r="J12" s="7" t="n">
        <v>6</v>
      </c>
      <c r="K12" s="7" t="n">
        <v>75</v>
      </c>
    </row>
    <row r="13" customFormat="false" ht="15" hidden="false" customHeight="false" outlineLevel="0" collapsed="false">
      <c r="A13" s="7" t="s">
        <v>135</v>
      </c>
      <c r="B13" s="7" t="s">
        <v>136</v>
      </c>
      <c r="C13" s="7" t="s">
        <v>42</v>
      </c>
      <c r="D13" s="7" t="n">
        <v>34.2104</v>
      </c>
      <c r="E13" s="7" t="n">
        <v>-77.8868</v>
      </c>
      <c r="F13" s="7" t="s">
        <v>130</v>
      </c>
      <c r="G13" s="7" t="n">
        <v>2019</v>
      </c>
      <c r="H13" s="16" t="n">
        <v>38000000</v>
      </c>
      <c r="I13" s="7" t="s">
        <v>137</v>
      </c>
      <c r="J13" s="7" t="n">
        <v>4</v>
      </c>
      <c r="K13" s="7" t="n">
        <v>3.5</v>
      </c>
    </row>
    <row r="14" customFormat="false" ht="15" hidden="false" customHeight="false" outlineLevel="0" collapsed="false">
      <c r="A14" s="7" t="s">
        <v>138</v>
      </c>
      <c r="B14" s="7" t="s">
        <v>139</v>
      </c>
      <c r="C14" s="7" t="s">
        <v>42</v>
      </c>
      <c r="D14" s="7" t="n">
        <v>35.994</v>
      </c>
      <c r="E14" s="7" t="n">
        <v>-75.6312</v>
      </c>
      <c r="F14" s="7" t="s">
        <v>130</v>
      </c>
      <c r="G14" s="7" t="n">
        <v>2012</v>
      </c>
      <c r="H14" s="16" t="n">
        <v>22000000</v>
      </c>
      <c r="I14" s="7" t="s">
        <v>110</v>
      </c>
      <c r="J14" s="7" t="n">
        <v>3</v>
      </c>
      <c r="K14" s="7" t="n">
        <v>0.1</v>
      </c>
    </row>
    <row r="15" customFormat="false" ht="15" hidden="false" customHeight="false" outlineLevel="0" collapsed="false">
      <c r="A15" s="7" t="s">
        <v>140</v>
      </c>
      <c r="B15" s="7" t="s">
        <v>141</v>
      </c>
      <c r="C15" s="7" t="s">
        <v>42</v>
      </c>
      <c r="D15" s="7" t="n">
        <v>35.2271</v>
      </c>
      <c r="E15" s="7" t="n">
        <v>-80.8431</v>
      </c>
      <c r="F15" s="7" t="s">
        <v>109</v>
      </c>
      <c r="G15" s="7" t="n">
        <v>2020</v>
      </c>
      <c r="H15" s="16" t="n">
        <v>180000000</v>
      </c>
      <c r="I15" s="7" t="s">
        <v>142</v>
      </c>
      <c r="J15" s="7" t="n">
        <v>2</v>
      </c>
      <c r="K15" s="7" t="n">
        <v>200</v>
      </c>
    </row>
    <row r="16" customFormat="false" ht="15" hidden="false" customHeight="false" outlineLevel="0" collapsed="false">
      <c r="A16" s="7" t="s">
        <v>143</v>
      </c>
      <c r="B16" s="7" t="s">
        <v>144</v>
      </c>
      <c r="C16" s="7" t="s">
        <v>43</v>
      </c>
      <c r="D16" s="7" t="n">
        <v>32.7765</v>
      </c>
      <c r="E16" s="7" t="n">
        <v>-79.9311</v>
      </c>
      <c r="F16" s="7" t="s">
        <v>145</v>
      </c>
      <c r="G16" s="7" t="n">
        <v>1920</v>
      </c>
      <c r="H16" s="16" t="n">
        <v>35000000</v>
      </c>
      <c r="I16" s="7" t="s">
        <v>110</v>
      </c>
      <c r="J16" s="7" t="n">
        <v>4</v>
      </c>
      <c r="K16" s="7" t="n">
        <v>1</v>
      </c>
    </row>
    <row r="17" customFormat="false" ht="15" hidden="false" customHeight="false" outlineLevel="0" collapsed="false">
      <c r="A17" s="7" t="s">
        <v>146</v>
      </c>
      <c r="B17" s="7" t="s">
        <v>147</v>
      </c>
      <c r="C17" s="7" t="s">
        <v>43</v>
      </c>
      <c r="D17" s="7" t="n">
        <v>33.6891</v>
      </c>
      <c r="E17" s="7" t="n">
        <v>-78.8867</v>
      </c>
      <c r="F17" s="7" t="s">
        <v>127</v>
      </c>
      <c r="G17" s="7" t="n">
        <v>2014</v>
      </c>
      <c r="H17" s="16" t="n">
        <v>52000000</v>
      </c>
      <c r="I17" s="7" t="s">
        <v>137</v>
      </c>
      <c r="J17" s="7" t="n">
        <v>15</v>
      </c>
      <c r="K17" s="7" t="n">
        <v>0.2</v>
      </c>
    </row>
    <row r="18" customFormat="false" ht="15" hidden="false" customHeight="false" outlineLevel="0" collapsed="false">
      <c r="A18" s="7" t="s">
        <v>148</v>
      </c>
      <c r="B18" s="7" t="s">
        <v>149</v>
      </c>
      <c r="C18" s="7" t="s">
        <v>39</v>
      </c>
      <c r="D18" s="7" t="n">
        <v>24.5551</v>
      </c>
      <c r="E18" s="7" t="n">
        <v>-81.78</v>
      </c>
      <c r="F18" s="7" t="s">
        <v>130</v>
      </c>
      <c r="G18" s="7" t="n">
        <v>1998</v>
      </c>
      <c r="H18" s="16" t="n">
        <v>18000000</v>
      </c>
      <c r="I18" s="7" t="s">
        <v>114</v>
      </c>
      <c r="J18" s="7" t="n">
        <v>1</v>
      </c>
      <c r="K18" s="7" t="n">
        <v>0</v>
      </c>
    </row>
    <row r="19" customFormat="false" ht="15" hidden="false" customHeight="false" outlineLevel="0" collapsed="false">
      <c r="A19" s="7" t="s">
        <v>150</v>
      </c>
      <c r="B19" s="7" t="s">
        <v>151</v>
      </c>
      <c r="C19" s="7" t="s">
        <v>39</v>
      </c>
      <c r="D19" s="7" t="n">
        <v>26.7056</v>
      </c>
      <c r="E19" s="7" t="n">
        <v>-80.0364</v>
      </c>
      <c r="F19" s="7" t="s">
        <v>127</v>
      </c>
      <c r="G19" s="7" t="n">
        <v>1985</v>
      </c>
      <c r="H19" s="16" t="n">
        <v>25000000</v>
      </c>
      <c r="I19" s="7" t="s">
        <v>137</v>
      </c>
      <c r="J19" s="7" t="n">
        <v>2</v>
      </c>
      <c r="K19" s="7" t="n">
        <v>0.5</v>
      </c>
    </row>
    <row r="20" customFormat="false" ht="15" hidden="false" customHeight="false" outlineLevel="0" collapsed="false">
      <c r="A20" s="7" t="s">
        <v>152</v>
      </c>
      <c r="B20" s="7" t="s">
        <v>153</v>
      </c>
      <c r="C20" s="7" t="s">
        <v>40</v>
      </c>
      <c r="D20" s="7" t="n">
        <v>29.885</v>
      </c>
      <c r="E20" s="7" t="n">
        <v>-93.94</v>
      </c>
      <c r="F20" s="7" t="s">
        <v>113</v>
      </c>
      <c r="G20" s="7" t="n">
        <v>1990</v>
      </c>
      <c r="H20" s="16" t="n">
        <v>320000000</v>
      </c>
      <c r="I20" s="7" t="s">
        <v>117</v>
      </c>
      <c r="J20" s="7" t="n">
        <v>5</v>
      </c>
      <c r="K20" s="7" t="n">
        <v>12</v>
      </c>
    </row>
    <row r="21" customFormat="false" ht="15" hidden="false" customHeight="false" outlineLevel="0" collapsed="false">
      <c r="A21" s="7" t="s">
        <v>154</v>
      </c>
      <c r="B21" s="7" t="s">
        <v>155</v>
      </c>
      <c r="C21" s="7" t="s">
        <v>41</v>
      </c>
      <c r="D21" s="7" t="n">
        <v>30.2266</v>
      </c>
      <c r="E21" s="7" t="n">
        <v>-93.2174</v>
      </c>
      <c r="F21" s="7" t="s">
        <v>109</v>
      </c>
      <c r="G21" s="7" t="n">
        <v>2005</v>
      </c>
      <c r="H21" s="16" t="n">
        <v>145000000</v>
      </c>
      <c r="I21" s="7" t="s">
        <v>114</v>
      </c>
      <c r="J21" s="7" t="n">
        <v>8</v>
      </c>
      <c r="K21" s="7" t="n">
        <v>35</v>
      </c>
    </row>
    <row r="22" customFormat="false" ht="15" hidden="false" customHeight="false" outlineLevel="0" collapsed="false">
      <c r="A22" s="3" t="s">
        <v>156</v>
      </c>
    </row>
    <row r="23" customFormat="false" ht="15" hidden="false" customHeight="false" outlineLevel="0" collapsed="false">
      <c r="G23" s="0" t="s">
        <v>157</v>
      </c>
      <c r="H23" s="6" t="n">
        <f aca="false">COUNTA(A3:A21)</f>
        <v>19</v>
      </c>
    </row>
    <row r="24" customFormat="false" ht="15" hidden="false" customHeight="false" outlineLevel="0" collapsed="false">
      <c r="G24" s="0" t="s">
        <v>158</v>
      </c>
      <c r="H24" s="17" t="n">
        <f aca="false">SUM(H3:H21)</f>
        <v>1800000000</v>
      </c>
    </row>
    <row r="25" customFormat="false" ht="15" hidden="false" customHeight="false" outlineLevel="0" collapsed="false">
      <c r="G25" s="0" t="s">
        <v>159</v>
      </c>
      <c r="H25" s="17" t="n">
        <f aca="false">AVERAGE(H3:H21)</f>
        <v>94736842.1052632</v>
      </c>
    </row>
    <row r="26" customFormat="false" ht="15" hidden="false" customHeight="false" outlineLevel="0" collapsed="false">
      <c r="G26" s="0" t="s">
        <v>160</v>
      </c>
      <c r="H26" s="6" t="n">
        <f aca="false">COUNTIF(K3:K21,"&lt;5")</f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4" min="3" style="0" width="18"/>
    <col collapsed="false" customWidth="true" hidden="false" outlineLevel="0" max="6" min="5" style="0" width="16"/>
    <col collapsed="false" customWidth="true" hidden="false" outlineLevel="0" max="7" min="7" style="0" width="3"/>
    <col collapsed="false" customWidth="true" hidden="false" outlineLevel="0" max="8" min="8" style="0" width="28"/>
    <col collapsed="false" customWidth="true" hidden="false" outlineLevel="0" max="9" min="9" style="0" width="14"/>
  </cols>
  <sheetData>
    <row r="1" customFormat="false" ht="17.35" hidden="false" customHeight="false" outlineLevel="0" collapsed="false">
      <c r="A1" s="13" t="s">
        <v>161</v>
      </c>
    </row>
    <row r="3" customFormat="false" ht="15" hidden="false" customHeight="false" outlineLevel="0" collapsed="false">
      <c r="A3" s="18" t="s">
        <v>162</v>
      </c>
    </row>
    <row r="5" customFormat="false" ht="15" hidden="false" customHeight="false" outlineLevel="0" collapsed="false">
      <c r="A5" s="3" t="s">
        <v>163</v>
      </c>
      <c r="H5" s="3" t="s">
        <v>164</v>
      </c>
    </row>
    <row r="7" customFormat="false" ht="28.35" hidden="false" customHeight="false" outlineLevel="0" collapsed="false">
      <c r="A7" s="4" t="s">
        <v>93</v>
      </c>
      <c r="B7" s="4" t="s">
        <v>130</v>
      </c>
      <c r="C7" s="4" t="s">
        <v>165</v>
      </c>
      <c r="D7" s="4" t="s">
        <v>166</v>
      </c>
      <c r="E7" s="4" t="s">
        <v>113</v>
      </c>
      <c r="F7" s="4" t="s">
        <v>167</v>
      </c>
      <c r="H7" s="19" t="s">
        <v>168</v>
      </c>
      <c r="I7" s="14" t="n">
        <v>125</v>
      </c>
    </row>
    <row r="8" customFormat="false" ht="15" hidden="false" customHeight="false" outlineLevel="0" collapsed="false">
      <c r="A8" s="7" t="n">
        <v>50</v>
      </c>
      <c r="B8" s="20" t="n">
        <v>0</v>
      </c>
      <c r="C8" s="20" t="n">
        <v>0</v>
      </c>
      <c r="D8" s="20" t="n">
        <v>0</v>
      </c>
      <c r="E8" s="20" t="n">
        <v>0</v>
      </c>
      <c r="F8" s="20" t="n">
        <v>0</v>
      </c>
      <c r="H8" s="19" t="s">
        <v>169</v>
      </c>
      <c r="I8" s="14" t="s">
        <v>130</v>
      </c>
    </row>
    <row r="9" customFormat="false" ht="15" hidden="false" customHeight="false" outlineLevel="0" collapsed="false">
      <c r="A9" s="7" t="n">
        <v>60</v>
      </c>
      <c r="B9" s="20" t="n">
        <v>0.01</v>
      </c>
      <c r="C9" s="20" t="n">
        <v>0</v>
      </c>
      <c r="D9" s="20" t="n">
        <v>0.01</v>
      </c>
      <c r="E9" s="20" t="n">
        <v>0</v>
      </c>
      <c r="F9" s="20" t="n">
        <v>0</v>
      </c>
    </row>
    <row r="10" customFormat="false" ht="15" hidden="false" customHeight="false" outlineLevel="0" collapsed="false">
      <c r="A10" s="7" t="n">
        <v>70</v>
      </c>
      <c r="B10" s="20" t="n">
        <v>0.02</v>
      </c>
      <c r="C10" s="20" t="n">
        <v>0.01</v>
      </c>
      <c r="D10" s="20" t="n">
        <v>0.02</v>
      </c>
      <c r="E10" s="20" t="n">
        <v>0.01</v>
      </c>
      <c r="F10" s="20" t="n">
        <v>0</v>
      </c>
      <c r="H10" s="19" t="s">
        <v>170</v>
      </c>
      <c r="I10" s="21" t="n">
        <f aca="false">VLOOKUP(I7,A8:F23,MATCH(I8,A7:F7,0),TRUE())</f>
        <v>0.45</v>
      </c>
    </row>
    <row r="11" customFormat="false" ht="15" hidden="false" customHeight="false" outlineLevel="0" collapsed="false">
      <c r="A11" s="7" t="n">
        <v>80</v>
      </c>
      <c r="B11" s="20" t="n">
        <v>0.05</v>
      </c>
      <c r="C11" s="20" t="n">
        <v>0.02</v>
      </c>
      <c r="D11" s="20" t="n">
        <v>0.04</v>
      </c>
      <c r="E11" s="20" t="n">
        <v>0.02</v>
      </c>
      <c r="F11" s="20" t="n">
        <v>0.01</v>
      </c>
    </row>
    <row r="12" customFormat="false" ht="15" hidden="false" customHeight="false" outlineLevel="0" collapsed="false">
      <c r="A12" s="7" t="n">
        <v>90</v>
      </c>
      <c r="B12" s="20" t="n">
        <v>0.1</v>
      </c>
      <c r="C12" s="20" t="n">
        <v>0.05</v>
      </c>
      <c r="D12" s="20" t="n">
        <v>0.08</v>
      </c>
      <c r="E12" s="20" t="n">
        <v>0.04</v>
      </c>
      <c r="F12" s="20" t="n">
        <v>0.02</v>
      </c>
    </row>
    <row r="13" customFormat="false" ht="15" hidden="false" customHeight="false" outlineLevel="0" collapsed="false">
      <c r="A13" s="7" t="n">
        <v>100</v>
      </c>
      <c r="B13" s="20" t="n">
        <v>0.18</v>
      </c>
      <c r="C13" s="20" t="n">
        <v>0.1</v>
      </c>
      <c r="D13" s="20" t="n">
        <v>0.15</v>
      </c>
      <c r="E13" s="20" t="n">
        <v>0.08</v>
      </c>
      <c r="F13" s="20" t="n">
        <v>0.05</v>
      </c>
      <c r="H13" s="3" t="s">
        <v>171</v>
      </c>
    </row>
    <row r="14" customFormat="false" ht="15" hidden="false" customHeight="false" outlineLevel="0" collapsed="false">
      <c r="A14" s="7" t="n">
        <v>110</v>
      </c>
      <c r="B14" s="20" t="n">
        <v>0.3</v>
      </c>
      <c r="C14" s="20" t="n">
        <v>0.18</v>
      </c>
      <c r="D14" s="20" t="n">
        <v>0.25</v>
      </c>
      <c r="E14" s="20" t="n">
        <v>0.14</v>
      </c>
      <c r="F14" s="20" t="n">
        <v>0.1</v>
      </c>
    </row>
    <row r="15" customFormat="false" ht="15" hidden="false" customHeight="false" outlineLevel="0" collapsed="false">
      <c r="A15" s="7" t="n">
        <v>120</v>
      </c>
      <c r="B15" s="20" t="n">
        <v>0.45</v>
      </c>
      <c r="C15" s="20" t="n">
        <v>0.28</v>
      </c>
      <c r="D15" s="20" t="n">
        <v>0.38</v>
      </c>
      <c r="E15" s="20" t="n">
        <v>0.22</v>
      </c>
      <c r="F15" s="20" t="n">
        <v>0.16</v>
      </c>
      <c r="H15" s="4" t="s">
        <v>7</v>
      </c>
      <c r="I15" s="4" t="s">
        <v>5</v>
      </c>
    </row>
    <row r="16" customFormat="false" ht="15" hidden="false" customHeight="false" outlineLevel="0" collapsed="false">
      <c r="A16" s="7" t="n">
        <v>130</v>
      </c>
      <c r="B16" s="20" t="n">
        <v>0.58</v>
      </c>
      <c r="C16" s="20" t="n">
        <v>0.4</v>
      </c>
      <c r="D16" s="20" t="n">
        <v>0.52</v>
      </c>
      <c r="E16" s="20" t="n">
        <v>0.32</v>
      </c>
      <c r="F16" s="20" t="n">
        <v>0.24</v>
      </c>
      <c r="H16" s="19" t="s">
        <v>172</v>
      </c>
      <c r="I16" s="14" t="n">
        <v>0.35</v>
      </c>
    </row>
    <row r="17" customFormat="false" ht="15" hidden="false" customHeight="false" outlineLevel="0" collapsed="false">
      <c r="A17" s="7" t="n">
        <v>140</v>
      </c>
      <c r="B17" s="20" t="n">
        <v>0.7</v>
      </c>
      <c r="C17" s="20" t="n">
        <v>0.52</v>
      </c>
      <c r="D17" s="20" t="n">
        <v>0.65</v>
      </c>
      <c r="E17" s="20" t="n">
        <v>0.43</v>
      </c>
      <c r="F17" s="20" t="n">
        <v>0.33</v>
      </c>
      <c r="H17" s="19" t="s">
        <v>48</v>
      </c>
      <c r="I17" s="19" t="s">
        <v>173</v>
      </c>
    </row>
    <row r="18" customFormat="false" ht="15" hidden="false" customHeight="false" outlineLevel="0" collapsed="false">
      <c r="A18" s="7" t="n">
        <v>150</v>
      </c>
      <c r="B18" s="20" t="n">
        <v>0.8</v>
      </c>
      <c r="C18" s="20" t="n">
        <v>0.63</v>
      </c>
      <c r="D18" s="20" t="n">
        <v>0.76</v>
      </c>
      <c r="E18" s="20" t="n">
        <v>0.54</v>
      </c>
      <c r="F18" s="20" t="n">
        <v>0.42</v>
      </c>
      <c r="H18" s="19" t="s">
        <v>174</v>
      </c>
      <c r="I18" s="14" t="n">
        <v>1.2</v>
      </c>
    </row>
    <row r="19" customFormat="false" ht="15" hidden="false" customHeight="false" outlineLevel="0" collapsed="false">
      <c r="A19" s="7" t="n">
        <v>160</v>
      </c>
      <c r="B19" s="20" t="n">
        <v>0.88</v>
      </c>
      <c r="C19" s="20" t="n">
        <v>0.73</v>
      </c>
      <c r="D19" s="20" t="n">
        <v>0.85</v>
      </c>
      <c r="E19" s="20" t="n">
        <v>0.64</v>
      </c>
      <c r="F19" s="20" t="n">
        <v>0.52</v>
      </c>
    </row>
    <row r="20" customFormat="false" ht="15" hidden="false" customHeight="false" outlineLevel="0" collapsed="false">
      <c r="A20" s="7" t="n">
        <v>170</v>
      </c>
      <c r="B20" s="20" t="n">
        <v>0.93</v>
      </c>
      <c r="C20" s="20" t="n">
        <v>0.82</v>
      </c>
      <c r="D20" s="20" t="n">
        <v>0.92</v>
      </c>
      <c r="E20" s="20" t="n">
        <v>0.74</v>
      </c>
      <c r="F20" s="20" t="n">
        <v>0.62</v>
      </c>
    </row>
    <row r="21" customFormat="false" ht="15" hidden="false" customHeight="false" outlineLevel="0" collapsed="false">
      <c r="A21" s="7" t="n">
        <v>180</v>
      </c>
      <c r="B21" s="20" t="n">
        <v>0.97</v>
      </c>
      <c r="C21" s="20" t="n">
        <v>0.89</v>
      </c>
      <c r="D21" s="20" t="n">
        <v>0.96</v>
      </c>
      <c r="E21" s="20" t="n">
        <v>0.82</v>
      </c>
      <c r="F21" s="20" t="n">
        <v>0.71</v>
      </c>
    </row>
    <row r="22" customFormat="false" ht="15" hidden="false" customHeight="false" outlineLevel="0" collapsed="false">
      <c r="A22" s="7" t="n">
        <v>190</v>
      </c>
      <c r="B22" s="20" t="n">
        <v>0.99</v>
      </c>
      <c r="C22" s="20" t="n">
        <v>0.94</v>
      </c>
      <c r="D22" s="20" t="n">
        <v>0.98</v>
      </c>
      <c r="E22" s="20" t="n">
        <v>0.89</v>
      </c>
      <c r="F22" s="20" t="n">
        <v>0.79</v>
      </c>
    </row>
    <row r="23" customFormat="false" ht="15" hidden="false" customHeight="false" outlineLevel="0" collapsed="false">
      <c r="A23" s="7" t="n">
        <v>200</v>
      </c>
      <c r="B23" s="20" t="n">
        <v>1</v>
      </c>
      <c r="C23" s="20" t="n">
        <v>0.97</v>
      </c>
      <c r="D23" s="20" t="n">
        <v>1</v>
      </c>
      <c r="E23" s="20" t="n">
        <v>0.94</v>
      </c>
      <c r="F23" s="20" t="n">
        <v>0.86</v>
      </c>
    </row>
    <row r="26" customFormat="false" ht="15" hidden="false" customHeight="false" outlineLevel="0" collapsed="false">
      <c r="A26" s="3" t="s">
        <v>175</v>
      </c>
    </row>
    <row r="28" customFormat="false" ht="15" hidden="false" customHeight="false" outlineLevel="0" collapsed="false">
      <c r="A28" s="4" t="s">
        <v>176</v>
      </c>
      <c r="B28" s="4" t="s">
        <v>6</v>
      </c>
      <c r="C28" s="4" t="s">
        <v>177</v>
      </c>
      <c r="D28" s="4" t="s">
        <v>178</v>
      </c>
      <c r="E28" s="4" t="s">
        <v>179</v>
      </c>
    </row>
    <row r="29" customFormat="false" ht="15" hidden="false" customHeight="false" outlineLevel="0" collapsed="false">
      <c r="A29" s="7" t="s">
        <v>180</v>
      </c>
      <c r="B29" s="7" t="s">
        <v>181</v>
      </c>
      <c r="C29" s="14" t="n">
        <v>0.85</v>
      </c>
      <c r="D29" s="14" t="n">
        <v>1</v>
      </c>
      <c r="E29" s="14" t="n">
        <v>1.15</v>
      </c>
    </row>
    <row r="30" customFormat="false" ht="15" hidden="false" customHeight="false" outlineLevel="0" collapsed="false">
      <c r="A30" s="7" t="s">
        <v>182</v>
      </c>
      <c r="B30" s="7" t="s">
        <v>183</v>
      </c>
      <c r="C30" s="14" t="n">
        <v>1</v>
      </c>
      <c r="D30" s="14" t="n">
        <v>1.1</v>
      </c>
      <c r="E30" s="14" t="n">
        <v>1.25</v>
      </c>
    </row>
    <row r="31" customFormat="false" ht="15" hidden="false" customHeight="false" outlineLevel="0" collapsed="false">
      <c r="A31" s="7" t="s">
        <v>184</v>
      </c>
      <c r="B31" s="7" t="s">
        <v>185</v>
      </c>
      <c r="C31" s="14" t="n">
        <v>0.7</v>
      </c>
      <c r="D31" s="14" t="n">
        <v>1</v>
      </c>
      <c r="E31" s="14" t="n">
        <v>1.1</v>
      </c>
    </row>
    <row r="32" customFormat="false" ht="15" hidden="false" customHeight="false" outlineLevel="0" collapsed="false">
      <c r="A32" s="7" t="s">
        <v>186</v>
      </c>
      <c r="B32" s="7" t="s">
        <v>187</v>
      </c>
      <c r="C32" s="14" t="n">
        <v>1</v>
      </c>
      <c r="D32" s="14" t="n">
        <v>1.1</v>
      </c>
      <c r="E32" s="14" t="n">
        <v>1.3</v>
      </c>
    </row>
    <row r="33" customFormat="false" ht="15" hidden="false" customHeight="false" outlineLevel="0" collapsed="false">
      <c r="A33" s="7" t="s">
        <v>188</v>
      </c>
      <c r="B33" s="7" t="s">
        <v>189</v>
      </c>
      <c r="C33" s="14" t="n">
        <v>0.9</v>
      </c>
      <c r="D33" s="14" t="n">
        <v>1</v>
      </c>
      <c r="E33" s="14" t="n">
        <v>1.15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6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0"/>
  </cols>
  <sheetData>
    <row r="1" customFormat="false" ht="17.35" hidden="false" customHeight="false" outlineLevel="0" collapsed="false">
      <c r="A1" s="13" t="s">
        <v>190</v>
      </c>
    </row>
    <row r="3" customFormat="false" ht="15" hidden="false" customHeight="false" outlineLevel="0" collapsed="false">
      <c r="A3" s="3" t="s">
        <v>191</v>
      </c>
    </row>
    <row r="5" customFormat="false" ht="28.35" hidden="false" customHeight="false" outlineLevel="0" collapsed="false">
      <c r="A5" s="4" t="s">
        <v>192</v>
      </c>
      <c r="B5" s="4" t="s">
        <v>103</v>
      </c>
      <c r="C5" s="4" t="s">
        <v>193</v>
      </c>
      <c r="D5" s="4" t="s">
        <v>194</v>
      </c>
      <c r="E5" s="4" t="s">
        <v>195</v>
      </c>
      <c r="F5" s="4" t="s">
        <v>196</v>
      </c>
      <c r="G5" s="4" t="s">
        <v>197</v>
      </c>
    </row>
    <row r="6" customFormat="false" ht="15" hidden="false" customHeight="false" outlineLevel="0" collapsed="false">
      <c r="A6" s="12" t="str">
        <f aca="false">Exposure!A3</f>
        <v>FL001</v>
      </c>
      <c r="B6" s="22" t="n">
        <f aca="false">Exposure!H3</f>
        <v>45000000</v>
      </c>
      <c r="C6" s="19" t="s">
        <v>198</v>
      </c>
      <c r="D6" s="20" t="n">
        <v>0.02</v>
      </c>
      <c r="E6" s="22" t="n">
        <f aca="false">B6*D6</f>
        <v>900000</v>
      </c>
      <c r="F6" s="22" t="n">
        <f aca="false">B6</f>
        <v>45000000</v>
      </c>
      <c r="G6" s="22" t="n">
        <f aca="false">B6*0.8</f>
        <v>36000000</v>
      </c>
    </row>
    <row r="7" customFormat="false" ht="15" hidden="false" customHeight="false" outlineLevel="0" collapsed="false">
      <c r="A7" s="12" t="str">
        <f aca="false">Exposure!A4</f>
        <v>FL002</v>
      </c>
      <c r="B7" s="22" t="n">
        <f aca="false">Exposure!H4</f>
        <v>78000000</v>
      </c>
      <c r="C7" s="19" t="s">
        <v>198</v>
      </c>
      <c r="D7" s="20" t="n">
        <v>0.05</v>
      </c>
      <c r="E7" s="22" t="n">
        <f aca="false">B7*D7</f>
        <v>3900000</v>
      </c>
      <c r="F7" s="22" t="n">
        <f aca="false">B7</f>
        <v>78000000</v>
      </c>
      <c r="G7" s="22" t="n">
        <f aca="false">B7*0.8</f>
        <v>62400000</v>
      </c>
    </row>
    <row r="8" customFormat="false" ht="15" hidden="false" customHeight="false" outlineLevel="0" collapsed="false">
      <c r="A8" s="12" t="str">
        <f aca="false">Exposure!A5</f>
        <v>FL003</v>
      </c>
      <c r="B8" s="22" t="n">
        <f aca="false">Exposure!H5</f>
        <v>32000000</v>
      </c>
      <c r="C8" s="19" t="s">
        <v>198</v>
      </c>
      <c r="D8" s="20" t="n">
        <v>0.02</v>
      </c>
      <c r="E8" s="22" t="n">
        <f aca="false">B8*D8</f>
        <v>640000</v>
      </c>
      <c r="F8" s="22" t="n">
        <f aca="false">B8</f>
        <v>32000000</v>
      </c>
      <c r="G8" s="22" t="n">
        <f aca="false">B8*0.8</f>
        <v>25600000</v>
      </c>
    </row>
    <row r="9" customFormat="false" ht="15" hidden="false" customHeight="false" outlineLevel="0" collapsed="false">
      <c r="A9" s="12" t="str">
        <f aca="false">Exposure!A6</f>
        <v>FL004</v>
      </c>
      <c r="B9" s="22" t="n">
        <f aca="false">Exposure!H6</f>
        <v>125000000</v>
      </c>
      <c r="C9" s="19" t="s">
        <v>198</v>
      </c>
      <c r="D9" s="20" t="n">
        <v>0.05</v>
      </c>
      <c r="E9" s="22" t="n">
        <f aca="false">B9*D9</f>
        <v>6250000</v>
      </c>
      <c r="F9" s="22" t="n">
        <f aca="false">B9</f>
        <v>125000000</v>
      </c>
      <c r="G9" s="22" t="n">
        <f aca="false">B9*0.8</f>
        <v>100000000</v>
      </c>
    </row>
    <row r="10" customFormat="false" ht="15" hidden="false" customHeight="false" outlineLevel="0" collapsed="false">
      <c r="A10" s="12" t="str">
        <f aca="false">Exposure!A7</f>
        <v>FL005</v>
      </c>
      <c r="B10" s="22" t="n">
        <f aca="false">Exposure!H7</f>
        <v>55000000</v>
      </c>
      <c r="C10" s="19" t="s">
        <v>198</v>
      </c>
      <c r="D10" s="20" t="n">
        <v>0.02</v>
      </c>
      <c r="E10" s="22" t="n">
        <f aca="false">B10*D10</f>
        <v>1100000</v>
      </c>
      <c r="F10" s="22" t="n">
        <f aca="false">B10</f>
        <v>55000000</v>
      </c>
      <c r="G10" s="22" t="n">
        <f aca="false">B10*0.8</f>
        <v>44000000</v>
      </c>
    </row>
    <row r="11" customFormat="false" ht="15" hidden="false" customHeight="false" outlineLevel="0" collapsed="false">
      <c r="A11" s="12" t="str">
        <f aca="false">Exposure!A8</f>
        <v>TX001</v>
      </c>
      <c r="B11" s="22" t="n">
        <f aca="false">Exposure!H8</f>
        <v>450000000</v>
      </c>
      <c r="C11" s="19" t="s">
        <v>198</v>
      </c>
      <c r="D11" s="20" t="n">
        <v>0.05</v>
      </c>
      <c r="E11" s="22" t="n">
        <f aca="false">B11*D11</f>
        <v>22500000</v>
      </c>
      <c r="F11" s="22" t="n">
        <f aca="false">B11</f>
        <v>450000000</v>
      </c>
      <c r="G11" s="22" t="n">
        <f aca="false">B11*0.8</f>
        <v>360000000</v>
      </c>
    </row>
    <row r="12" customFormat="false" ht="15" hidden="false" customHeight="false" outlineLevel="0" collapsed="false">
      <c r="A12" s="12" t="str">
        <f aca="false">Exposure!A9</f>
        <v>TX002</v>
      </c>
      <c r="B12" s="22" t="n">
        <f aca="false">Exposure!H9</f>
        <v>28000000</v>
      </c>
      <c r="C12" s="19" t="s">
        <v>198</v>
      </c>
      <c r="D12" s="20" t="n">
        <v>0.02</v>
      </c>
      <c r="E12" s="22" t="n">
        <f aca="false">B12*D12</f>
        <v>560000</v>
      </c>
      <c r="F12" s="22" t="n">
        <f aca="false">B12</f>
        <v>28000000</v>
      </c>
      <c r="G12" s="22" t="n">
        <f aca="false">B12*0.8</f>
        <v>22400000</v>
      </c>
    </row>
    <row r="13" customFormat="false" ht="15" hidden="false" customHeight="false" outlineLevel="0" collapsed="false">
      <c r="A13" s="12" t="str">
        <f aca="false">Exposure!A10</f>
        <v>TX003</v>
      </c>
      <c r="B13" s="22" t="n">
        <f aca="false">Exposure!H10</f>
        <v>15000000</v>
      </c>
      <c r="C13" s="19" t="s">
        <v>198</v>
      </c>
      <c r="D13" s="20" t="n">
        <v>0.05</v>
      </c>
      <c r="E13" s="22" t="n">
        <f aca="false">B13*D13</f>
        <v>750000</v>
      </c>
      <c r="F13" s="22" t="n">
        <f aca="false">B13</f>
        <v>15000000</v>
      </c>
      <c r="G13" s="22" t="n">
        <f aca="false">B13*0.8</f>
        <v>12000000</v>
      </c>
    </row>
    <row r="14" customFormat="false" ht="15" hidden="false" customHeight="false" outlineLevel="0" collapsed="false">
      <c r="A14" s="12" t="str">
        <f aca="false">Exposure!A11</f>
        <v>LA001</v>
      </c>
      <c r="B14" s="22" t="n">
        <f aca="false">Exposure!H11</f>
        <v>95000000</v>
      </c>
      <c r="C14" s="19" t="s">
        <v>198</v>
      </c>
      <c r="D14" s="20" t="n">
        <v>0.02</v>
      </c>
      <c r="E14" s="22" t="n">
        <f aca="false">B14*D14</f>
        <v>1900000</v>
      </c>
      <c r="F14" s="22" t="n">
        <f aca="false">B14</f>
        <v>95000000</v>
      </c>
      <c r="G14" s="22" t="n">
        <f aca="false">B14*0.8</f>
        <v>76000000</v>
      </c>
    </row>
    <row r="15" customFormat="false" ht="15" hidden="false" customHeight="false" outlineLevel="0" collapsed="false">
      <c r="A15" s="12" t="str">
        <f aca="false">Exposure!A12</f>
        <v>LA002</v>
      </c>
      <c r="B15" s="22" t="n">
        <f aca="false">Exposure!H12</f>
        <v>42000000</v>
      </c>
      <c r="C15" s="19" t="s">
        <v>198</v>
      </c>
      <c r="D15" s="20" t="n">
        <v>0.05</v>
      </c>
      <c r="E15" s="22" t="n">
        <f aca="false">B15*D15</f>
        <v>2100000</v>
      </c>
      <c r="F15" s="22" t="n">
        <f aca="false">B15</f>
        <v>42000000</v>
      </c>
      <c r="G15" s="22" t="n">
        <f aca="false">B15*0.8</f>
        <v>33600000</v>
      </c>
    </row>
    <row r="18" customFormat="false" ht="15" hidden="false" customHeight="false" outlineLevel="0" collapsed="false">
      <c r="A18" s="3" t="s">
        <v>199</v>
      </c>
    </row>
    <row r="20" customFormat="false" ht="28.35" hidden="false" customHeight="false" outlineLevel="0" collapsed="false">
      <c r="A20" s="4" t="s">
        <v>200</v>
      </c>
      <c r="B20" s="4" t="s">
        <v>6</v>
      </c>
      <c r="C20" s="4" t="s">
        <v>201</v>
      </c>
      <c r="D20" s="4" t="s">
        <v>202</v>
      </c>
      <c r="E20" s="4" t="s">
        <v>203</v>
      </c>
      <c r="F20" s="4" t="s">
        <v>204</v>
      </c>
      <c r="G20" s="4" t="s">
        <v>205</v>
      </c>
    </row>
    <row r="21" customFormat="false" ht="15" hidden="false" customHeight="false" outlineLevel="0" collapsed="false">
      <c r="A21" s="7" t="s">
        <v>206</v>
      </c>
      <c r="B21" s="7" t="s">
        <v>207</v>
      </c>
      <c r="C21" s="7" t="n">
        <v>0</v>
      </c>
      <c r="D21" s="7" t="n">
        <v>25</v>
      </c>
      <c r="E21" s="7" t="s">
        <v>75</v>
      </c>
      <c r="F21" s="7" t="s">
        <v>75</v>
      </c>
      <c r="G21" s="7" t="s">
        <v>75</v>
      </c>
    </row>
    <row r="22" customFormat="false" ht="15" hidden="false" customHeight="false" outlineLevel="0" collapsed="false">
      <c r="A22" s="7" t="s">
        <v>208</v>
      </c>
      <c r="B22" s="7" t="s">
        <v>209</v>
      </c>
      <c r="C22" s="14" t="n">
        <v>25</v>
      </c>
      <c r="D22" s="14" t="n">
        <v>50</v>
      </c>
      <c r="E22" s="20" t="n">
        <v>8.5</v>
      </c>
      <c r="F22" s="10" t="n">
        <f aca="false">D22*E22/100</f>
        <v>4.25</v>
      </c>
      <c r="G22" s="11" t="n">
        <f aca="false">F22/(D22)*100</f>
        <v>8.5</v>
      </c>
    </row>
    <row r="23" customFormat="false" ht="15" hidden="false" customHeight="false" outlineLevel="0" collapsed="false">
      <c r="A23" s="7" t="s">
        <v>210</v>
      </c>
      <c r="B23" s="7" t="s">
        <v>211</v>
      </c>
      <c r="C23" s="14" t="n">
        <v>75</v>
      </c>
      <c r="D23" s="14" t="n">
        <v>75</v>
      </c>
      <c r="E23" s="20" t="n">
        <v>6.2</v>
      </c>
      <c r="F23" s="10" t="n">
        <f aca="false">D23*E23/100</f>
        <v>4.65</v>
      </c>
      <c r="G23" s="11" t="n">
        <f aca="false">F23/(D23)*100</f>
        <v>6.2</v>
      </c>
    </row>
    <row r="24" customFormat="false" ht="15" hidden="false" customHeight="false" outlineLevel="0" collapsed="false">
      <c r="A24" s="7" t="s">
        <v>212</v>
      </c>
      <c r="B24" s="7" t="s">
        <v>213</v>
      </c>
      <c r="C24" s="14" t="n">
        <v>150</v>
      </c>
      <c r="D24" s="14" t="n">
        <v>100</v>
      </c>
      <c r="E24" s="20" t="n">
        <v>4.8</v>
      </c>
      <c r="F24" s="10" t="n">
        <f aca="false">D24*E24/100</f>
        <v>4.8</v>
      </c>
      <c r="G24" s="11" t="n">
        <f aca="false">F24/(D24)*100</f>
        <v>4.8</v>
      </c>
    </row>
    <row r="25" customFormat="false" ht="15" hidden="false" customHeight="false" outlineLevel="0" collapsed="false">
      <c r="A25" s="7" t="s">
        <v>214</v>
      </c>
      <c r="B25" s="7" t="s">
        <v>215</v>
      </c>
      <c r="C25" s="14" t="n">
        <v>250</v>
      </c>
      <c r="D25" s="14" t="n">
        <v>150</v>
      </c>
      <c r="E25" s="20" t="n">
        <v>3.5</v>
      </c>
      <c r="F25" s="10" t="n">
        <f aca="false">D25*E25/100</f>
        <v>5.25</v>
      </c>
      <c r="G25" s="11" t="n">
        <f aca="false">F25/(D25)*100</f>
        <v>3.5</v>
      </c>
    </row>
    <row r="28" customFormat="false" ht="15" hidden="false" customHeight="false" outlineLevel="0" collapsed="false">
      <c r="A28" s="3" t="s">
        <v>216</v>
      </c>
    </row>
    <row r="30" customFormat="false" ht="15" hidden="false" customHeight="false" outlineLevel="0" collapsed="false">
      <c r="A30" s="0" t="s">
        <v>217</v>
      </c>
      <c r="B30" s="16" t="n">
        <v>85000000</v>
      </c>
    </row>
    <row r="31" customFormat="false" ht="15" hidden="false" customHeight="false" outlineLevel="0" collapsed="false">
      <c r="A31" s="0" t="s">
        <v>218</v>
      </c>
      <c r="B31" s="22" t="n">
        <f aca="false">B30*0.03</f>
        <v>2550000</v>
      </c>
      <c r="C31" s="19" t="s">
        <v>219</v>
      </c>
    </row>
    <row r="32" customFormat="false" ht="15" hidden="false" customHeight="false" outlineLevel="0" collapsed="false">
      <c r="A32" s="0" t="s">
        <v>220</v>
      </c>
      <c r="B32" s="22" t="n">
        <f aca="false">B30-B31</f>
        <v>82450000</v>
      </c>
      <c r="C32" s="19" t="s">
        <v>221</v>
      </c>
    </row>
    <row r="33" customFormat="false" ht="15" hidden="false" customHeight="false" outlineLevel="0" collapsed="false">
      <c r="A33" s="0" t="s">
        <v>222</v>
      </c>
      <c r="B33" s="22" t="n">
        <f aca="false">MAX(0,B32-B30*0.8)</f>
        <v>14450000</v>
      </c>
      <c r="C33" s="19" t="s">
        <v>223</v>
      </c>
    </row>
    <row r="34" customFormat="false" ht="15" hidden="false" customHeight="false" outlineLevel="0" collapsed="false">
      <c r="A34" s="0" t="s">
        <v>224</v>
      </c>
      <c r="B34" s="22" t="n">
        <f aca="false">B32-B33</f>
        <v>68000000</v>
      </c>
      <c r="C34" s="19" t="s">
        <v>225</v>
      </c>
    </row>
    <row r="35" customFormat="false" ht="15" hidden="false" customHeight="false" outlineLevel="0" collapsed="false">
      <c r="A35" s="0" t="s">
        <v>226</v>
      </c>
      <c r="B35" s="22" t="n">
        <f aca="false">MIN(MAX(0,B34-25000000),50000000)</f>
        <v>43000000</v>
      </c>
      <c r="C35" s="19" t="s">
        <v>227</v>
      </c>
    </row>
    <row r="36" customFormat="false" ht="15" hidden="false" customHeight="false" outlineLevel="0" collapsed="false">
      <c r="A36" s="0" t="s">
        <v>228</v>
      </c>
      <c r="B36" s="22" t="n">
        <f aca="false">MIN(MAX(0,B34-75000000),75000000)</f>
        <v>0</v>
      </c>
      <c r="C36" s="19" t="s">
        <v>229</v>
      </c>
    </row>
    <row r="37" customFormat="false" ht="15" hidden="false" customHeight="false" outlineLevel="0" collapsed="false">
      <c r="A37" s="0" t="s">
        <v>230</v>
      </c>
      <c r="B37" s="22" t="n">
        <f aca="false">MIN(MAX(0,B34-150000000),100000000)</f>
        <v>0</v>
      </c>
      <c r="C37" s="19" t="s">
        <v>231</v>
      </c>
    </row>
    <row r="38" customFormat="false" ht="15" hidden="false" customHeight="false" outlineLevel="0" collapsed="false">
      <c r="A38" s="0" t="s">
        <v>232</v>
      </c>
      <c r="B38" s="22" t="n">
        <f aca="false">MIN(MAX(0,B34-250000000),150000000)</f>
        <v>0</v>
      </c>
      <c r="C38" s="19" t="s">
        <v>233</v>
      </c>
    </row>
    <row r="39" customFormat="false" ht="15" hidden="false" customHeight="false" outlineLevel="0" collapsed="false">
      <c r="A39" s="0" t="s">
        <v>234</v>
      </c>
      <c r="B39" s="22" t="n">
        <f aca="false">SUM(B35:B38)</f>
        <v>43000000</v>
      </c>
    </row>
    <row r="40" customFormat="false" ht="15" hidden="false" customHeight="false" outlineLevel="0" collapsed="false">
      <c r="A40" s="23" t="s">
        <v>235</v>
      </c>
      <c r="B40" s="17" t="n">
        <f aca="false">B34-B39</f>
        <v>25000000</v>
      </c>
      <c r="C40" s="19" t="s">
        <v>236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8"/>
    <col collapsed="false" customWidth="true" hidden="false" outlineLevel="0" max="4" min="3" style="0" width="12"/>
    <col collapsed="false" customWidth="true" hidden="false" outlineLevel="0" max="5" min="5" style="0" width="16"/>
    <col collapsed="false" customWidth="true" hidden="false" outlineLevel="0" max="6" min="6" style="0" width="10"/>
    <col collapsed="false" customWidth="true" hidden="false" outlineLevel="0" max="7" min="7" style="0" width="14"/>
    <col collapsed="false" customWidth="true" hidden="false" outlineLevel="0" max="8" min="8" style="0" width="16"/>
    <col collapsed="false" customWidth="true" hidden="false" outlineLevel="0" max="10" min="9" style="0" width="14"/>
  </cols>
  <sheetData>
    <row r="1" customFormat="false" ht="17.35" hidden="false" customHeight="false" outlineLevel="0" collapsed="false">
      <c r="A1" s="13" t="s">
        <v>237</v>
      </c>
    </row>
    <row r="3" customFormat="false" ht="15" hidden="false" customHeight="false" outlineLevel="0" collapsed="false">
      <c r="A3" s="3" t="s">
        <v>238</v>
      </c>
    </row>
    <row r="4" customFormat="false" ht="15" hidden="false" customHeight="false" outlineLevel="0" collapsed="false">
      <c r="B4" s="0" t="s">
        <v>239</v>
      </c>
      <c r="C4" s="14" t="n">
        <v>10000</v>
      </c>
    </row>
    <row r="5" customFormat="false" ht="15" hidden="false" customHeight="false" outlineLevel="0" collapsed="false">
      <c r="B5" s="0" t="s">
        <v>240</v>
      </c>
      <c r="C5" s="14" t="n">
        <v>1.8</v>
      </c>
    </row>
    <row r="6" customFormat="false" ht="15" hidden="false" customHeight="false" outlineLevel="0" collapsed="false">
      <c r="B6" s="0" t="s">
        <v>241</v>
      </c>
      <c r="C6" s="14" t="n">
        <v>42</v>
      </c>
    </row>
    <row r="9" customFormat="false" ht="15" hidden="false" customHeight="false" outlineLevel="0" collapsed="false">
      <c r="A9" s="3" t="s">
        <v>242</v>
      </c>
    </row>
    <row r="11" customFormat="false" ht="28.35" hidden="false" customHeight="false" outlineLevel="0" collapsed="false">
      <c r="A11" s="4" t="s">
        <v>243</v>
      </c>
      <c r="B11" s="4" t="s">
        <v>244</v>
      </c>
      <c r="C11" s="4" t="s">
        <v>245</v>
      </c>
      <c r="D11" s="4" t="s">
        <v>246</v>
      </c>
      <c r="E11" s="4" t="s">
        <v>247</v>
      </c>
      <c r="F11" s="4" t="s">
        <v>248</v>
      </c>
      <c r="G11" s="4" t="s">
        <v>249</v>
      </c>
      <c r="H11" s="4" t="s">
        <v>250</v>
      </c>
      <c r="I11" s="4" t="s">
        <v>251</v>
      </c>
      <c r="J11" s="4" t="s">
        <v>252</v>
      </c>
    </row>
    <row r="12" customFormat="false" ht="15" hidden="false" customHeight="false" outlineLevel="0" collapsed="false">
      <c r="A12" s="7" t="s">
        <v>253</v>
      </c>
      <c r="B12" s="7" t="n">
        <v>4489</v>
      </c>
      <c r="C12" s="24" t="n">
        <v>32.1066288968579</v>
      </c>
      <c r="D12" s="24" t="n">
        <v>-95.1148560461989</v>
      </c>
      <c r="E12" s="25" t="n">
        <v>952.471643082509</v>
      </c>
      <c r="F12" s="26" t="n">
        <v>31.3854404390219</v>
      </c>
      <c r="G12" s="25" t="n">
        <v>77.2328660552754</v>
      </c>
      <c r="H12" s="27" t="n">
        <v>18770037.5286026</v>
      </c>
      <c r="I12" s="27" t="n">
        <v>18206936.4027445</v>
      </c>
      <c r="J12" s="27" t="n">
        <v>18206936.4027445</v>
      </c>
    </row>
    <row r="13" customFormat="false" ht="15" hidden="false" customHeight="false" outlineLevel="0" collapsed="false">
      <c r="A13" s="7" t="s">
        <v>254</v>
      </c>
      <c r="B13" s="7" t="n">
        <v>7778</v>
      </c>
      <c r="C13" s="24" t="n">
        <v>31.335297107609</v>
      </c>
      <c r="D13" s="24" t="n">
        <v>-87.8918303707291</v>
      </c>
      <c r="E13" s="25" t="n">
        <v>934.720579069132</v>
      </c>
      <c r="F13" s="26" t="n">
        <v>45.6769525934571</v>
      </c>
      <c r="G13" s="25" t="n">
        <v>86.0084957842563</v>
      </c>
      <c r="H13" s="27" t="n">
        <v>12065898.0732246</v>
      </c>
      <c r="I13" s="27" t="n">
        <v>11703921.1310279</v>
      </c>
      <c r="J13" s="27" t="n">
        <v>11703921.1310279</v>
      </c>
    </row>
    <row r="14" customFormat="false" ht="15" hidden="false" customHeight="false" outlineLevel="0" collapsed="false">
      <c r="A14" s="7" t="s">
        <v>255</v>
      </c>
      <c r="B14" s="7" t="n">
        <v>7393</v>
      </c>
      <c r="C14" s="24" t="n">
        <v>27.7213224938464</v>
      </c>
      <c r="D14" s="24" t="n">
        <v>-85.9892679507968</v>
      </c>
      <c r="E14" s="25" t="n">
        <v>921.11754408806</v>
      </c>
      <c r="F14" s="26" t="n">
        <v>20.0129665242182</v>
      </c>
      <c r="G14" s="25" t="n">
        <v>90.759972863523</v>
      </c>
      <c r="H14" s="27" t="n">
        <v>8469045.17141576</v>
      </c>
      <c r="I14" s="27" t="n">
        <v>8214973.81627329</v>
      </c>
      <c r="J14" s="27" t="n">
        <v>8214973.81627329</v>
      </c>
    </row>
    <row r="15" customFormat="false" ht="15" hidden="false" customHeight="false" outlineLevel="0" collapsed="false">
      <c r="A15" s="7" t="s">
        <v>256</v>
      </c>
      <c r="B15" s="7" t="n">
        <v>3105</v>
      </c>
      <c r="C15" s="24" t="n">
        <v>25.6355835028602</v>
      </c>
      <c r="D15" s="24" t="n">
        <v>-91.7133005308338</v>
      </c>
      <c r="E15" s="25" t="n">
        <v>947.936355754898</v>
      </c>
      <c r="F15" s="26" t="n">
        <v>38.2810550800778</v>
      </c>
      <c r="G15" s="25" t="n">
        <v>87.4432384540092</v>
      </c>
      <c r="H15" s="27" t="n">
        <v>5980005.47373658</v>
      </c>
      <c r="I15" s="27" t="n">
        <v>5800605.30952448</v>
      </c>
      <c r="J15" s="27" t="n">
        <v>5800605.30952448</v>
      </c>
    </row>
    <row r="16" customFormat="false" ht="15" hidden="false" customHeight="false" outlineLevel="0" collapsed="false">
      <c r="A16" s="7" t="s">
        <v>257</v>
      </c>
      <c r="B16" s="7" t="n">
        <v>1844</v>
      </c>
      <c r="C16" s="24" t="n">
        <v>34.405232644896</v>
      </c>
      <c r="D16" s="24" t="n">
        <v>-90.2412756415121</v>
      </c>
      <c r="E16" s="25" t="n">
        <v>955.25057788556</v>
      </c>
      <c r="F16" s="26" t="n">
        <v>20.7871565131089</v>
      </c>
      <c r="G16" s="25" t="n">
        <v>78.4029362411328</v>
      </c>
      <c r="H16" s="27" t="n">
        <v>5764660.01101574</v>
      </c>
      <c r="I16" s="27" t="n">
        <v>5591720.21068527</v>
      </c>
      <c r="J16" s="27" t="n">
        <v>5591720.21068527</v>
      </c>
    </row>
    <row r="17" customFormat="false" ht="15" hidden="false" customHeight="false" outlineLevel="0" collapsed="false">
      <c r="A17" s="7" t="s">
        <v>258</v>
      </c>
      <c r="B17" s="7" t="n">
        <v>5540</v>
      </c>
      <c r="C17" s="24" t="n">
        <v>33.9855418852708</v>
      </c>
      <c r="D17" s="24" t="n">
        <v>-86.690705985787</v>
      </c>
      <c r="E17" s="25" t="n">
        <v>924.698183040273</v>
      </c>
      <c r="F17" s="26" t="n">
        <v>32.1648258574725</v>
      </c>
      <c r="G17" s="25" t="n">
        <v>95.4344088444304</v>
      </c>
      <c r="H17" s="27" t="n">
        <v>5367768.94834459</v>
      </c>
      <c r="I17" s="27" t="n">
        <v>5206735.87989425</v>
      </c>
      <c r="J17" s="27" t="n">
        <v>5206735.87989425</v>
      </c>
    </row>
    <row r="18" customFormat="false" ht="15" hidden="false" customHeight="false" outlineLevel="0" collapsed="false">
      <c r="A18" s="7" t="s">
        <v>259</v>
      </c>
      <c r="B18" s="7" t="n">
        <v>6421</v>
      </c>
      <c r="C18" s="24" t="n">
        <v>31.1748150962772</v>
      </c>
      <c r="D18" s="24" t="n">
        <v>-86.6018962716992</v>
      </c>
      <c r="E18" s="25" t="n">
        <v>924.118146734554</v>
      </c>
      <c r="F18" s="26" t="n">
        <v>30.2006645663127</v>
      </c>
      <c r="G18" s="25" t="n">
        <v>92.1382083135698</v>
      </c>
      <c r="H18" s="27" t="n">
        <v>5356977.45165481</v>
      </c>
      <c r="I18" s="27" t="n">
        <v>5196268.12810517</v>
      </c>
      <c r="J18" s="27" t="n">
        <v>5196268.12810517</v>
      </c>
    </row>
    <row r="19" customFormat="false" ht="15" hidden="false" customHeight="false" outlineLevel="0" collapsed="false">
      <c r="A19" s="7" t="s">
        <v>260</v>
      </c>
      <c r="B19" s="7" t="n">
        <v>5792</v>
      </c>
      <c r="C19" s="24" t="n">
        <v>30.5289308907133</v>
      </c>
      <c r="D19" s="24" t="n">
        <v>-86.9241556940503</v>
      </c>
      <c r="E19" s="25" t="n">
        <v>933.930110667131</v>
      </c>
      <c r="F19" s="26" t="n">
        <v>20.178835275225</v>
      </c>
      <c r="G19" s="25" t="n">
        <v>85.5800178073133</v>
      </c>
      <c r="H19" s="27" t="n">
        <v>5013249.74167522</v>
      </c>
      <c r="I19" s="27" t="n">
        <v>4862852.24942496</v>
      </c>
      <c r="J19" s="27" t="n">
        <v>4862852.24942496</v>
      </c>
    </row>
    <row r="20" customFormat="false" ht="15" hidden="false" customHeight="false" outlineLevel="0" collapsed="false">
      <c r="A20" s="7" t="s">
        <v>261</v>
      </c>
      <c r="B20" s="7" t="n">
        <v>8111</v>
      </c>
      <c r="C20" s="24" t="n">
        <v>32.13244787223</v>
      </c>
      <c r="D20" s="24" t="n">
        <v>-84.0666541735128</v>
      </c>
      <c r="E20" s="25" t="n">
        <v>956.702387853746</v>
      </c>
      <c r="F20" s="26" t="n">
        <v>40.5387072002533</v>
      </c>
      <c r="G20" s="25" t="n">
        <v>74.8526045213379</v>
      </c>
      <c r="H20" s="27" t="n">
        <v>4679266.29932103</v>
      </c>
      <c r="I20" s="27" t="n">
        <v>4538888.3103414</v>
      </c>
      <c r="J20" s="27" t="n">
        <v>4538888.3103414</v>
      </c>
    </row>
    <row r="21" customFormat="false" ht="15" hidden="false" customHeight="false" outlineLevel="0" collapsed="false">
      <c r="A21" s="7" t="s">
        <v>262</v>
      </c>
      <c r="B21" s="7" t="n">
        <v>4414</v>
      </c>
      <c r="C21" s="24" t="n">
        <v>27.2210781047073</v>
      </c>
      <c r="D21" s="24" t="n">
        <v>-94.9622887553274</v>
      </c>
      <c r="E21" s="25" t="n">
        <v>948.465354580063</v>
      </c>
      <c r="F21" s="26" t="n">
        <v>20.6221195610609</v>
      </c>
      <c r="G21" s="25" t="n">
        <v>79.5270298633868</v>
      </c>
      <c r="H21" s="27" t="n">
        <v>4411809.16224972</v>
      </c>
      <c r="I21" s="27" t="n">
        <v>4279454.88738223</v>
      </c>
      <c r="J21" s="27" t="n">
        <v>4279454.88738223</v>
      </c>
    </row>
    <row r="22" customFormat="false" ht="15" hidden="false" customHeight="false" outlineLevel="0" collapsed="false">
      <c r="A22" s="7" t="s">
        <v>263</v>
      </c>
      <c r="B22" s="7" t="n">
        <v>7271</v>
      </c>
      <c r="C22" s="24" t="n">
        <v>32.9654298686023</v>
      </c>
      <c r="D22" s="24" t="n">
        <v>-93.8816085722752</v>
      </c>
      <c r="E22" s="25" t="n">
        <v>963.740516623439</v>
      </c>
      <c r="F22" s="26" t="n">
        <v>20.9440679535136</v>
      </c>
      <c r="G22" s="25" t="n">
        <v>80.8933926999876</v>
      </c>
      <c r="H22" s="27" t="n">
        <v>3463147.04948152</v>
      </c>
      <c r="I22" s="27" t="n">
        <v>3359252.63799707</v>
      </c>
      <c r="J22" s="27" t="n">
        <v>3359252.63799707</v>
      </c>
    </row>
    <row r="23" customFormat="false" ht="15" hidden="false" customHeight="false" outlineLevel="0" collapsed="false">
      <c r="A23" s="7" t="s">
        <v>264</v>
      </c>
      <c r="B23" s="7" t="n">
        <v>1529</v>
      </c>
      <c r="C23" s="24" t="n">
        <v>25.4645041272</v>
      </c>
      <c r="D23" s="24" t="n">
        <v>-86.6717375176756</v>
      </c>
      <c r="E23" s="25" t="n">
        <v>940.230123500599</v>
      </c>
      <c r="F23" s="26" t="n">
        <v>25.0533054943193</v>
      </c>
      <c r="G23" s="25" t="n">
        <v>83.8467928117373</v>
      </c>
      <c r="H23" s="27" t="n">
        <v>3032510.09266309</v>
      </c>
      <c r="I23" s="27" t="n">
        <v>2941534.7898832</v>
      </c>
      <c r="J23" s="27" t="n">
        <v>2941534.7898832</v>
      </c>
    </row>
    <row r="24" customFormat="false" ht="15" hidden="false" customHeight="false" outlineLevel="0" collapsed="false">
      <c r="A24" s="7" t="s">
        <v>265</v>
      </c>
      <c r="B24" s="7" t="n">
        <v>5893</v>
      </c>
      <c r="C24" s="24" t="n">
        <v>34.2630087851335</v>
      </c>
      <c r="D24" s="24" t="n">
        <v>-85.9316905664669</v>
      </c>
      <c r="E24" s="25" t="n">
        <v>969.898099716021</v>
      </c>
      <c r="F24" s="26" t="n">
        <v>39.6694518782704</v>
      </c>
      <c r="G24" s="25" t="n">
        <v>74</v>
      </c>
      <c r="H24" s="27" t="n">
        <v>2539113.27666308</v>
      </c>
      <c r="I24" s="27" t="n">
        <v>2462939.87836319</v>
      </c>
      <c r="J24" s="27" t="n">
        <v>2462939.87836319</v>
      </c>
    </row>
    <row r="25" customFormat="false" ht="15" hidden="false" customHeight="false" outlineLevel="0" collapsed="false">
      <c r="A25" s="7" t="s">
        <v>266</v>
      </c>
      <c r="B25" s="7" t="n">
        <v>9493</v>
      </c>
      <c r="C25" s="24" t="n">
        <v>26.7882270922133</v>
      </c>
      <c r="D25" s="24" t="n">
        <v>-90.7700306620914</v>
      </c>
      <c r="E25" s="25" t="n">
        <v>962.47871659004</v>
      </c>
      <c r="F25" s="26" t="n">
        <v>37.9899922342885</v>
      </c>
      <c r="G25" s="25" t="n">
        <v>74</v>
      </c>
      <c r="H25" s="27" t="n">
        <v>2420423.62078455</v>
      </c>
      <c r="I25" s="27" t="n">
        <v>2347810.91216102</v>
      </c>
      <c r="J25" s="27" t="n">
        <v>2347810.91216102</v>
      </c>
    </row>
    <row r="26" customFormat="false" ht="15" hidden="false" customHeight="false" outlineLevel="0" collapsed="false">
      <c r="A26" s="7" t="s">
        <v>267</v>
      </c>
      <c r="B26" s="7" t="n">
        <v>5277</v>
      </c>
      <c r="C26" s="24" t="n">
        <v>33.0219698075404</v>
      </c>
      <c r="D26" s="24" t="n">
        <v>-95.7326390574439</v>
      </c>
      <c r="E26" s="25" t="n">
        <v>976.03317808827</v>
      </c>
      <c r="F26" s="26" t="n">
        <v>24.4864715049635</v>
      </c>
      <c r="G26" s="25" t="n">
        <v>74</v>
      </c>
      <c r="H26" s="27" t="n">
        <v>2281423.56329945</v>
      </c>
      <c r="I26" s="27" t="n">
        <v>2212980.85640047</v>
      </c>
      <c r="J26" s="27" t="n">
        <v>2212980.85640047</v>
      </c>
    </row>
    <row r="27" customFormat="false" ht="15" hidden="false" customHeight="false" outlineLevel="0" collapsed="false">
      <c r="A27" s="7" t="s">
        <v>268</v>
      </c>
      <c r="B27" s="7" t="n">
        <v>9671</v>
      </c>
      <c r="C27" s="24" t="n">
        <v>31.0999665778262</v>
      </c>
      <c r="D27" s="24" t="n">
        <v>-82.8356865004852</v>
      </c>
      <c r="E27" s="25" t="n">
        <v>940.397920688606</v>
      </c>
      <c r="F27" s="26" t="n">
        <v>52.2939579179089</v>
      </c>
      <c r="G27" s="25" t="n">
        <v>79.2410626328662</v>
      </c>
      <c r="H27" s="27" t="n">
        <v>2220247.86186955</v>
      </c>
      <c r="I27" s="27" t="n">
        <v>2153640.42601346</v>
      </c>
      <c r="J27" s="27" t="n">
        <v>2153640.42601346</v>
      </c>
    </row>
    <row r="28" customFormat="false" ht="15" hidden="false" customHeight="false" outlineLevel="0" collapsed="false">
      <c r="A28" s="7" t="s">
        <v>269</v>
      </c>
      <c r="B28" s="7" t="n">
        <v>6020</v>
      </c>
      <c r="C28" s="24" t="n">
        <v>34.0756647392609</v>
      </c>
      <c r="D28" s="24" t="n">
        <v>-92.7620321044691</v>
      </c>
      <c r="E28" s="25" t="n">
        <v>951.383419432648</v>
      </c>
      <c r="F28" s="26" t="n">
        <v>22.0578845737645</v>
      </c>
      <c r="G28" s="25" t="n">
        <v>74.5499379266955</v>
      </c>
      <c r="H28" s="27" t="n">
        <v>2208619.07562811</v>
      </c>
      <c r="I28" s="27" t="n">
        <v>2142360.50335926</v>
      </c>
      <c r="J28" s="27" t="n">
        <v>2142360.50335926</v>
      </c>
    </row>
    <row r="29" customFormat="false" ht="15" hidden="false" customHeight="false" outlineLevel="0" collapsed="false">
      <c r="A29" s="7" t="s">
        <v>270</v>
      </c>
      <c r="B29" s="7" t="n">
        <v>8530</v>
      </c>
      <c r="C29" s="24" t="n">
        <v>30.3969213238908</v>
      </c>
      <c r="D29" s="24" t="n">
        <v>-87.0252301837146</v>
      </c>
      <c r="E29" s="25" t="n">
        <v>973.54293942393</v>
      </c>
      <c r="F29" s="26" t="n">
        <v>18.6567706473868</v>
      </c>
      <c r="G29" s="25" t="n">
        <v>74</v>
      </c>
      <c r="H29" s="27" t="n">
        <v>1781048.02634442</v>
      </c>
      <c r="I29" s="27" t="n">
        <v>1727616.58555409</v>
      </c>
      <c r="J29" s="27" t="n">
        <v>1727616.58555409</v>
      </c>
    </row>
    <row r="30" customFormat="false" ht="15" hidden="false" customHeight="false" outlineLevel="0" collapsed="false">
      <c r="A30" s="7" t="s">
        <v>271</v>
      </c>
      <c r="B30" s="7" t="n">
        <v>855</v>
      </c>
      <c r="C30" s="24" t="n">
        <v>27.7864646423661</v>
      </c>
      <c r="D30" s="24" t="n">
        <v>-81.5594799385669</v>
      </c>
      <c r="E30" s="25" t="n">
        <v>943.97808452735</v>
      </c>
      <c r="F30" s="26" t="n">
        <v>60</v>
      </c>
      <c r="G30" s="25" t="n">
        <v>82.9058702977132</v>
      </c>
      <c r="H30" s="27" t="n">
        <v>1780116.4386113</v>
      </c>
      <c r="I30" s="27" t="n">
        <v>1726712.94545296</v>
      </c>
      <c r="J30" s="27" t="n">
        <v>1726712.94545296</v>
      </c>
    </row>
    <row r="31" customFormat="false" ht="15" hidden="false" customHeight="false" outlineLevel="0" collapsed="false">
      <c r="A31" s="7" t="s">
        <v>272</v>
      </c>
      <c r="B31" s="7" t="n">
        <v>9556</v>
      </c>
      <c r="C31" s="24" t="n">
        <v>33.9255899848998</v>
      </c>
      <c r="D31" s="24" t="n">
        <v>-87.8311818874339</v>
      </c>
      <c r="E31" s="25" t="n">
        <v>964.798953529341</v>
      </c>
      <c r="F31" s="26" t="n">
        <v>28.0094828706651</v>
      </c>
      <c r="G31" s="25" t="n">
        <v>74</v>
      </c>
      <c r="H31" s="27" t="n">
        <v>1713435.47061088</v>
      </c>
      <c r="I31" s="27" t="n">
        <v>1662032.40649255</v>
      </c>
      <c r="J31" s="27" t="n">
        <v>1662032.40649255</v>
      </c>
    </row>
    <row r="32" customFormat="false" ht="15" hidden="false" customHeight="false" outlineLevel="0" collapsed="false">
      <c r="A32" s="7" t="s">
        <v>273</v>
      </c>
      <c r="B32" s="7" t="n">
        <v>2512</v>
      </c>
      <c r="C32" s="24" t="n">
        <v>25.4077514155476</v>
      </c>
      <c r="D32" s="24" t="n">
        <v>-86.9548199657999</v>
      </c>
      <c r="E32" s="25" t="n">
        <v>960.329647542831</v>
      </c>
      <c r="F32" s="26" t="n">
        <v>30.0824121006884</v>
      </c>
      <c r="G32" s="25" t="n">
        <v>74</v>
      </c>
      <c r="H32" s="27" t="n">
        <v>1680799.18574442</v>
      </c>
      <c r="I32" s="27" t="n">
        <v>1630375.21017209</v>
      </c>
      <c r="J32" s="27" t="n">
        <v>1630375.21017209</v>
      </c>
    </row>
    <row r="33" customFormat="false" ht="15" hidden="false" customHeight="false" outlineLevel="0" collapsed="false">
      <c r="A33" s="7" t="s">
        <v>274</v>
      </c>
      <c r="B33" s="7" t="n">
        <v>7556</v>
      </c>
      <c r="C33" s="24" t="n">
        <v>28.1171107608941</v>
      </c>
      <c r="D33" s="24" t="n">
        <v>-88.1588436399772</v>
      </c>
      <c r="E33" s="25" t="n">
        <v>956.222985388064</v>
      </c>
      <c r="F33" s="26" t="n">
        <v>32.0337129040001</v>
      </c>
      <c r="G33" s="25" t="n">
        <v>79.7593291557192</v>
      </c>
      <c r="H33" s="27" t="n">
        <v>1465556.11256318</v>
      </c>
      <c r="I33" s="27" t="n">
        <v>1421589.42918628</v>
      </c>
      <c r="J33" s="27" t="n">
        <v>1421589.42918628</v>
      </c>
    </row>
    <row r="34" customFormat="false" ht="15" hidden="false" customHeight="false" outlineLevel="0" collapsed="false">
      <c r="A34" s="7" t="s">
        <v>275</v>
      </c>
      <c r="B34" s="7" t="n">
        <v>2050</v>
      </c>
      <c r="C34" s="24" t="n">
        <v>34.9625369975792</v>
      </c>
      <c r="D34" s="24" t="n">
        <v>-80.5878710280905</v>
      </c>
      <c r="E34" s="25" t="n">
        <v>956.604703094781</v>
      </c>
      <c r="F34" s="26" t="n">
        <v>44.4044730150851</v>
      </c>
      <c r="G34" s="25" t="n">
        <v>74.3620751678588</v>
      </c>
      <c r="H34" s="27" t="n">
        <v>1321477.00805906</v>
      </c>
      <c r="I34" s="27" t="n">
        <v>1281832.69781729</v>
      </c>
      <c r="J34" s="27" t="n">
        <v>1281832.69781729</v>
      </c>
    </row>
    <row r="35" customFormat="false" ht="15" hidden="false" customHeight="false" outlineLevel="0" collapsed="false">
      <c r="A35" s="7" t="s">
        <v>276</v>
      </c>
      <c r="B35" s="7" t="n">
        <v>8121</v>
      </c>
      <c r="C35" s="24" t="n">
        <v>26.1347352124059</v>
      </c>
      <c r="D35" s="24" t="n">
        <v>-81.2802084892644</v>
      </c>
      <c r="E35" s="25" t="n">
        <v>967.86769700581</v>
      </c>
      <c r="F35" s="26" t="n">
        <v>38.2924422670725</v>
      </c>
      <c r="G35" s="25" t="n">
        <v>74</v>
      </c>
      <c r="H35" s="27" t="n">
        <v>1199575.74408202</v>
      </c>
      <c r="I35" s="27" t="n">
        <v>1163588.47175956</v>
      </c>
      <c r="J35" s="27" t="n">
        <v>1163588.47175956</v>
      </c>
    </row>
    <row r="36" customFormat="false" ht="15" hidden="false" customHeight="false" outlineLevel="0" collapsed="false">
      <c r="A36" s="7" t="s">
        <v>277</v>
      </c>
      <c r="B36" s="7" t="n">
        <v>1496</v>
      </c>
      <c r="C36" s="24" t="n">
        <v>32.0301895889518</v>
      </c>
      <c r="D36" s="24" t="n">
        <v>-90.818296759552</v>
      </c>
      <c r="E36" s="25" t="n">
        <v>974.180936438322</v>
      </c>
      <c r="F36" s="26" t="n">
        <v>16.8704912702337</v>
      </c>
      <c r="G36" s="25" t="n">
        <v>74</v>
      </c>
      <c r="H36" s="27" t="n">
        <v>1049363.89673011</v>
      </c>
      <c r="I36" s="27" t="n">
        <v>1017882.97982821</v>
      </c>
      <c r="J36" s="27" t="n">
        <v>1017882.97982821</v>
      </c>
    </row>
    <row r="37" customFormat="false" ht="15" hidden="false" customHeight="false" outlineLevel="0" collapsed="false">
      <c r="A37" s="7" t="s">
        <v>278</v>
      </c>
      <c r="B37" s="7" t="n">
        <v>2962</v>
      </c>
      <c r="C37" s="24" t="n">
        <v>26.608080514175</v>
      </c>
      <c r="D37" s="24" t="n">
        <v>-87.671525580768</v>
      </c>
      <c r="E37" s="25" t="n">
        <v>960.771745717076</v>
      </c>
      <c r="F37" s="26" t="n">
        <v>20.9849671735219</v>
      </c>
      <c r="G37" s="25" t="n">
        <v>75.5518861247699</v>
      </c>
      <c r="H37" s="27" t="n">
        <v>740893.844096209</v>
      </c>
      <c r="I37" s="27" t="n">
        <v>718667.028773323</v>
      </c>
      <c r="J37" s="27" t="n">
        <v>718667.028773323</v>
      </c>
    </row>
    <row r="38" customFormat="false" ht="15" hidden="false" customHeight="false" outlineLevel="0" collapsed="false">
      <c r="A38" s="7" t="s">
        <v>279</v>
      </c>
      <c r="B38" s="7" t="n">
        <v>8323</v>
      </c>
      <c r="C38" s="24" t="n">
        <v>25.205844942958</v>
      </c>
      <c r="D38" s="24" t="n">
        <v>-80.5115325132461</v>
      </c>
      <c r="E38" s="25" t="n">
        <v>965.820125845428</v>
      </c>
      <c r="F38" s="26" t="n">
        <v>22.7041778010395</v>
      </c>
      <c r="G38" s="25" t="n">
        <v>74</v>
      </c>
      <c r="H38" s="27" t="n">
        <v>656957.568864268</v>
      </c>
      <c r="I38" s="27" t="n">
        <v>637248.84179834</v>
      </c>
      <c r="J38" s="27" t="n">
        <v>637248.84179834</v>
      </c>
    </row>
    <row r="39" customFormat="false" ht="15" hidden="false" customHeight="false" outlineLevel="0" collapsed="false">
      <c r="A39" s="7" t="s">
        <v>280</v>
      </c>
      <c r="B39" s="7" t="n">
        <v>7401</v>
      </c>
      <c r="C39" s="24" t="n">
        <v>28.4920957461266</v>
      </c>
      <c r="D39" s="24" t="n">
        <v>-84.6587534592059</v>
      </c>
      <c r="E39" s="25" t="n">
        <v>968.888398492706</v>
      </c>
      <c r="F39" s="26" t="n">
        <v>32.3413060002021</v>
      </c>
      <c r="G39" s="25" t="n">
        <v>74</v>
      </c>
      <c r="H39" s="27" t="n">
        <v>580410.436097508</v>
      </c>
      <c r="I39" s="27" t="n">
        <v>562998.123014582</v>
      </c>
      <c r="J39" s="27" t="n">
        <v>562998.123014582</v>
      </c>
    </row>
    <row r="40" customFormat="false" ht="15" hidden="false" customHeight="false" outlineLevel="0" collapsed="false">
      <c r="A40" s="7" t="s">
        <v>281</v>
      </c>
      <c r="B40" s="7" t="n">
        <v>2748</v>
      </c>
      <c r="C40" s="24" t="n">
        <v>28.6636184329369</v>
      </c>
      <c r="D40" s="24" t="n">
        <v>-89.2468102683104</v>
      </c>
      <c r="E40" s="25" t="n">
        <v>963.944195867899</v>
      </c>
      <c r="F40" s="26" t="n">
        <v>28.9611342004488</v>
      </c>
      <c r="G40" s="25" t="n">
        <v>74</v>
      </c>
      <c r="H40" s="27" t="n">
        <v>319883.456177384</v>
      </c>
      <c r="I40" s="27" t="n">
        <v>310286.952492062</v>
      </c>
      <c r="J40" s="27" t="n">
        <v>310286.952492062</v>
      </c>
    </row>
    <row r="41" customFormat="false" ht="15" hidden="false" customHeight="false" outlineLevel="0" collapsed="false">
      <c r="A41" s="7" t="s">
        <v>282</v>
      </c>
      <c r="B41" s="7" t="n">
        <v>9915</v>
      </c>
      <c r="C41" s="24" t="n">
        <v>31.947849330397</v>
      </c>
      <c r="D41" s="24" t="n">
        <v>-82.0320467367406</v>
      </c>
      <c r="E41" s="25" t="n">
        <v>958.709814201583</v>
      </c>
      <c r="F41" s="26" t="n">
        <v>24.9806312965548</v>
      </c>
      <c r="G41" s="25" t="n">
        <v>74</v>
      </c>
      <c r="H41" s="27" t="n">
        <v>305459.097169312</v>
      </c>
      <c r="I41" s="27" t="n">
        <v>296295.324254233</v>
      </c>
      <c r="J41" s="27" t="n">
        <v>296295.324254233</v>
      </c>
    </row>
    <row r="44" customFormat="false" ht="15" hidden="false" customHeight="false" outlineLevel="0" collapsed="false">
      <c r="A44" s="3" t="s">
        <v>283</v>
      </c>
    </row>
    <row r="46" customFormat="false" ht="15" hidden="false" customHeight="false" outlineLevel="0" collapsed="false">
      <c r="F46" s="4" t="s">
        <v>284</v>
      </c>
      <c r="G46" s="4" t="s">
        <v>5</v>
      </c>
    </row>
    <row r="47" customFormat="false" ht="15" hidden="false" customHeight="false" outlineLevel="0" collapsed="false">
      <c r="F47" s="7" t="s">
        <v>285</v>
      </c>
      <c r="G47" s="6" t="n">
        <v>18000</v>
      </c>
    </row>
    <row r="48" customFormat="false" ht="15" hidden="false" customHeight="false" outlineLevel="0" collapsed="false">
      <c r="F48" s="7" t="s">
        <v>286</v>
      </c>
      <c r="G48" s="6" t="n">
        <f aca="false">G47/C4</f>
        <v>1.8</v>
      </c>
    </row>
    <row r="49" customFormat="false" ht="15" hidden="false" customHeight="false" outlineLevel="0" collapsed="false">
      <c r="F49" s="7" t="s">
        <v>287</v>
      </c>
      <c r="G49" s="17" t="n">
        <f aca="false">MAX(H12:H41)</f>
        <v>18770037.5286026</v>
      </c>
    </row>
    <row r="50" customFormat="false" ht="15" hidden="false" customHeight="false" outlineLevel="0" collapsed="false">
      <c r="F50" s="7" t="s">
        <v>11</v>
      </c>
      <c r="G50" s="17" t="n">
        <v>42500000</v>
      </c>
    </row>
    <row r="51" customFormat="false" ht="15" hidden="false" customHeight="false" outlineLevel="0" collapsed="false">
      <c r="F51" s="7" t="s">
        <v>32</v>
      </c>
      <c r="G51" s="17" t="n">
        <v>85000000</v>
      </c>
    </row>
    <row r="52" customFormat="false" ht="15" hidden="false" customHeight="false" outlineLevel="0" collapsed="false">
      <c r="F52" s="7" t="s">
        <v>288</v>
      </c>
      <c r="G52" s="28" t="n">
        <f aca="false">G51/G50</f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2"/>
  </cols>
  <sheetData>
    <row r="1" customFormat="false" ht="17.35" hidden="false" customHeight="false" outlineLevel="0" collapsed="false">
      <c r="A1" s="13" t="s">
        <v>289</v>
      </c>
    </row>
    <row r="3" customFormat="false" ht="15" hidden="false" customHeight="false" outlineLevel="0" collapsed="false">
      <c r="A3" s="0" t="s">
        <v>290</v>
      </c>
    </row>
    <row r="4" customFormat="false" ht="15" hidden="false" customHeight="false" outlineLevel="0" collapsed="false">
      <c r="A4" s="0" t="s">
        <v>291</v>
      </c>
    </row>
    <row r="6" customFormat="false" ht="15" hidden="false" customHeight="false" outlineLevel="0" collapsed="false">
      <c r="A6" s="3" t="s">
        <v>292</v>
      </c>
    </row>
    <row r="8" customFormat="false" ht="15" hidden="false" customHeight="false" outlineLevel="0" collapsed="false">
      <c r="A8" s="4" t="s">
        <v>293</v>
      </c>
      <c r="B8" s="4" t="s">
        <v>294</v>
      </c>
      <c r="C8" s="4" t="s">
        <v>295</v>
      </c>
      <c r="D8" s="4" t="s">
        <v>296</v>
      </c>
      <c r="E8" s="4" t="s">
        <v>297</v>
      </c>
      <c r="F8" s="4" t="s">
        <v>298</v>
      </c>
    </row>
    <row r="9" customFormat="false" ht="15" hidden="false" customHeight="false" outlineLevel="0" collapsed="false">
      <c r="A9" s="7" t="n">
        <v>2</v>
      </c>
      <c r="B9" s="7" t="s">
        <v>299</v>
      </c>
      <c r="C9" s="10" t="n">
        <v>15.2</v>
      </c>
      <c r="D9" s="10" t="n">
        <v>28.5</v>
      </c>
      <c r="E9" s="10" t="n">
        <v>45.3</v>
      </c>
      <c r="F9" s="10" t="n">
        <v>72.1</v>
      </c>
    </row>
    <row r="10" customFormat="false" ht="15" hidden="false" customHeight="false" outlineLevel="0" collapsed="false">
      <c r="A10" s="7" t="n">
        <v>5</v>
      </c>
      <c r="B10" s="7" t="s">
        <v>300</v>
      </c>
      <c r="C10" s="10" t="n">
        <v>38.4</v>
      </c>
      <c r="D10" s="10" t="n">
        <v>65.2</v>
      </c>
      <c r="E10" s="10" t="n">
        <v>85.6</v>
      </c>
      <c r="F10" s="10" t="n">
        <v>125.8</v>
      </c>
    </row>
    <row r="11" customFormat="false" ht="15" hidden="false" customHeight="false" outlineLevel="0" collapsed="false">
      <c r="A11" s="7" t="n">
        <v>10</v>
      </c>
      <c r="B11" s="7" t="s">
        <v>301</v>
      </c>
      <c r="C11" s="10" t="n">
        <v>72.5</v>
      </c>
      <c r="D11" s="10" t="n">
        <v>118.3</v>
      </c>
      <c r="E11" s="10" t="n">
        <v>142.8</v>
      </c>
      <c r="F11" s="10" t="n">
        <v>198.5</v>
      </c>
    </row>
    <row r="12" customFormat="false" ht="15" hidden="false" customHeight="false" outlineLevel="0" collapsed="false">
      <c r="A12" s="7" t="n">
        <v>25</v>
      </c>
      <c r="B12" s="7" t="s">
        <v>302</v>
      </c>
      <c r="C12" s="10" t="n">
        <v>125.8</v>
      </c>
      <c r="D12" s="10" t="n">
        <v>195.2</v>
      </c>
      <c r="E12" s="10" t="n">
        <v>215.6</v>
      </c>
      <c r="F12" s="10" t="n">
        <v>312.4</v>
      </c>
    </row>
    <row r="13" customFormat="false" ht="15" hidden="false" customHeight="false" outlineLevel="0" collapsed="false">
      <c r="A13" s="7" t="n">
        <v>50</v>
      </c>
      <c r="B13" s="7" t="s">
        <v>303</v>
      </c>
      <c r="C13" s="10" t="n">
        <v>185.3</v>
      </c>
      <c r="D13" s="10" t="n">
        <v>278.5</v>
      </c>
      <c r="E13" s="10" t="n">
        <v>295.2</v>
      </c>
      <c r="F13" s="10" t="n">
        <v>425.8</v>
      </c>
    </row>
    <row r="14" customFormat="false" ht="15" hidden="false" customHeight="false" outlineLevel="0" collapsed="false">
      <c r="A14" s="7" t="n">
        <v>100</v>
      </c>
      <c r="B14" s="7" t="s">
        <v>304</v>
      </c>
      <c r="C14" s="10" t="n">
        <v>268.5</v>
      </c>
      <c r="D14" s="10" t="n">
        <v>385.2</v>
      </c>
      <c r="E14" s="10" t="n">
        <v>398.5</v>
      </c>
      <c r="F14" s="10" t="n">
        <v>565.2</v>
      </c>
    </row>
    <row r="15" customFormat="false" ht="15" hidden="false" customHeight="false" outlineLevel="0" collapsed="false">
      <c r="A15" s="7" t="n">
        <v>200</v>
      </c>
      <c r="B15" s="7" t="s">
        <v>305</v>
      </c>
      <c r="C15" s="10" t="n">
        <v>365.2</v>
      </c>
      <c r="D15" s="10" t="n">
        <v>512.8</v>
      </c>
      <c r="E15" s="10" t="n">
        <v>525.3</v>
      </c>
      <c r="F15" s="10" t="n">
        <v>728.5</v>
      </c>
    </row>
    <row r="16" customFormat="false" ht="15" hidden="false" customHeight="false" outlineLevel="0" collapsed="false">
      <c r="A16" s="7" t="n">
        <v>250</v>
      </c>
      <c r="B16" s="7" t="s">
        <v>306</v>
      </c>
      <c r="C16" s="10" t="n">
        <v>412.5</v>
      </c>
      <c r="D16" s="10" t="n">
        <v>575.8</v>
      </c>
      <c r="E16" s="10" t="n">
        <v>598.2</v>
      </c>
      <c r="F16" s="10" t="n">
        <v>812.5</v>
      </c>
    </row>
    <row r="17" customFormat="false" ht="15" hidden="false" customHeight="false" outlineLevel="0" collapsed="false">
      <c r="A17" s="7" t="n">
        <v>500</v>
      </c>
      <c r="B17" s="7" t="s">
        <v>307</v>
      </c>
      <c r="C17" s="10" t="n">
        <v>525.8</v>
      </c>
      <c r="D17" s="10" t="n">
        <v>725.3</v>
      </c>
      <c r="E17" s="10" t="n">
        <v>785.2</v>
      </c>
      <c r="F17" s="10" t="n">
        <v>1025.8</v>
      </c>
    </row>
    <row r="18" customFormat="false" ht="15" hidden="false" customHeight="false" outlineLevel="0" collapsed="false">
      <c r="A18" s="7" t="n">
        <v>1000</v>
      </c>
      <c r="B18" s="7" t="s">
        <v>308</v>
      </c>
      <c r="C18" s="10" t="n">
        <v>685.2</v>
      </c>
      <c r="D18" s="10" t="n">
        <v>925.8</v>
      </c>
      <c r="E18" s="10" t="n">
        <v>1025.5</v>
      </c>
      <c r="F18" s="10" t="n">
        <v>1385.2</v>
      </c>
    </row>
    <row r="21" customFormat="false" ht="15" hidden="false" customHeight="false" outlineLevel="0" collapsed="false">
      <c r="A21" s="3" t="s">
        <v>2</v>
      </c>
      <c r="F21" s="3" t="s">
        <v>309</v>
      </c>
    </row>
    <row r="23" customFormat="false" ht="15" hidden="false" customHeight="false" outlineLevel="0" collapsed="false">
      <c r="B23" s="4" t="s">
        <v>4</v>
      </c>
      <c r="C23" s="4" t="s">
        <v>310</v>
      </c>
      <c r="D23" s="4" t="s">
        <v>311</v>
      </c>
      <c r="F23" s="19" t="s">
        <v>312</v>
      </c>
      <c r="G23" s="14" t="n">
        <v>500</v>
      </c>
    </row>
    <row r="24" customFormat="false" ht="15" hidden="false" customHeight="false" outlineLevel="0" collapsed="false">
      <c r="B24" s="5" t="s">
        <v>313</v>
      </c>
      <c r="C24" s="9" t="n">
        <f aca="false">C14</f>
        <v>268.5</v>
      </c>
      <c r="D24" s="9" t="n">
        <f aca="false">D14</f>
        <v>385.2</v>
      </c>
      <c r="F24" s="19" t="s">
        <v>314</v>
      </c>
      <c r="G24" s="11" t="n">
        <f aca="false">C14/G23</f>
        <v>0.537</v>
      </c>
    </row>
    <row r="25" customFormat="false" ht="15" hidden="false" customHeight="false" outlineLevel="0" collapsed="false">
      <c r="B25" s="5" t="s">
        <v>315</v>
      </c>
      <c r="C25" s="9" t="n">
        <f aca="false">C16</f>
        <v>412.5</v>
      </c>
      <c r="D25" s="9" t="n">
        <f aca="false">D16</f>
        <v>575.8</v>
      </c>
      <c r="F25" s="19" t="s">
        <v>316</v>
      </c>
      <c r="G25" s="11" t="n">
        <f aca="false">C16/G23</f>
        <v>0.825</v>
      </c>
    </row>
    <row r="26" customFormat="false" ht="15" hidden="false" customHeight="false" outlineLevel="0" collapsed="false">
      <c r="B26" s="5" t="s">
        <v>317</v>
      </c>
      <c r="C26" s="9" t="n">
        <f aca="false">E14</f>
        <v>398.5</v>
      </c>
      <c r="D26" s="9" t="n">
        <f aca="false">F14</f>
        <v>565.2</v>
      </c>
      <c r="F26" s="19" t="s">
        <v>318</v>
      </c>
      <c r="G26" s="11" t="n">
        <f aca="false">E14/G23</f>
        <v>0.797</v>
      </c>
    </row>
    <row r="27" customFormat="false" ht="15" hidden="false" customHeight="false" outlineLevel="0" collapsed="false">
      <c r="B27" s="5" t="s">
        <v>319</v>
      </c>
      <c r="C27" s="9" t="n">
        <f aca="false">E16</f>
        <v>598.2</v>
      </c>
      <c r="D27" s="9" t="n">
        <f aca="false">F16</f>
        <v>812.5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12"/>
  </cols>
  <sheetData>
    <row r="1" customFormat="false" ht="17.35" hidden="false" customHeight="false" outlineLevel="0" collapsed="false">
      <c r="A1" s="13" t="s">
        <v>320</v>
      </c>
    </row>
    <row r="3" customFormat="false" ht="15" hidden="false" customHeight="false" outlineLevel="0" collapsed="false">
      <c r="A3" s="3" t="s">
        <v>321</v>
      </c>
    </row>
    <row r="5" customFormat="false" ht="15" hidden="false" customHeight="false" outlineLevel="0" collapsed="false">
      <c r="A5" s="4" t="s">
        <v>7</v>
      </c>
      <c r="B5" s="4" t="s">
        <v>322</v>
      </c>
      <c r="C5" s="4" t="s">
        <v>323</v>
      </c>
      <c r="D5" s="4" t="s">
        <v>324</v>
      </c>
      <c r="E5" s="4" t="s">
        <v>325</v>
      </c>
      <c r="F5" s="4" t="s">
        <v>326</v>
      </c>
    </row>
    <row r="6" customFormat="false" ht="15" hidden="false" customHeight="false" outlineLevel="0" collapsed="false">
      <c r="A6" s="7" t="s">
        <v>327</v>
      </c>
      <c r="B6" s="14" t="n">
        <v>1.8</v>
      </c>
      <c r="C6" s="10" t="n">
        <v>245.2</v>
      </c>
      <c r="D6" s="10" t="n">
        <v>292.5</v>
      </c>
      <c r="E6" s="29" t="n">
        <v>0.96</v>
      </c>
      <c r="F6" s="7" t="n">
        <v>1</v>
      </c>
    </row>
    <row r="7" customFormat="false" ht="15" hidden="false" customHeight="false" outlineLevel="0" collapsed="false">
      <c r="A7" s="7" t="s">
        <v>328</v>
      </c>
      <c r="B7" s="14" t="n">
        <v>0.35</v>
      </c>
      <c r="C7" s="10" t="n">
        <v>252.8</v>
      </c>
      <c r="D7" s="10" t="n">
        <v>285.2</v>
      </c>
      <c r="E7" s="29" t="n">
        <v>0.64</v>
      </c>
      <c r="F7" s="7" t="n">
        <v>2</v>
      </c>
    </row>
    <row r="8" customFormat="false" ht="15" hidden="false" customHeight="false" outlineLevel="0" collapsed="false">
      <c r="A8" s="7" t="s">
        <v>329</v>
      </c>
      <c r="B8" s="14" t="n">
        <v>1</v>
      </c>
      <c r="C8" s="10" t="n">
        <v>248.5</v>
      </c>
      <c r="D8" s="10" t="n">
        <v>288.8</v>
      </c>
      <c r="E8" s="29" t="n">
        <v>0.8</v>
      </c>
      <c r="F8" s="7" t="n">
        <v>3</v>
      </c>
    </row>
    <row r="9" customFormat="false" ht="15" hidden="false" customHeight="false" outlineLevel="0" collapsed="false">
      <c r="A9" s="7" t="s">
        <v>330</v>
      </c>
      <c r="B9" s="14" t="n">
        <v>1.2</v>
      </c>
      <c r="C9" s="10" t="n">
        <v>262.5</v>
      </c>
      <c r="D9" s="10" t="n">
        <v>275.2</v>
      </c>
      <c r="E9" s="29" t="n">
        <v>0.24</v>
      </c>
      <c r="F9" s="7" t="n">
        <v>5</v>
      </c>
    </row>
    <row r="10" customFormat="false" ht="15" hidden="false" customHeight="false" outlineLevel="0" collapsed="false">
      <c r="A10" s="7" t="s">
        <v>331</v>
      </c>
      <c r="B10" s="14" t="n">
        <v>0.3</v>
      </c>
      <c r="C10" s="10" t="n">
        <v>255.8</v>
      </c>
      <c r="D10" s="10" t="n">
        <v>282.5</v>
      </c>
      <c r="E10" s="29" t="n">
        <v>0.52</v>
      </c>
      <c r="F10" s="7" t="n">
        <v>4</v>
      </c>
    </row>
    <row r="14" customFormat="false" ht="15" hidden="false" customHeight="false" outlineLevel="0" collapsed="false">
      <c r="A14" s="3" t="s">
        <v>332</v>
      </c>
    </row>
    <row r="16" customFormat="false" ht="28.35" hidden="false" customHeight="false" outlineLevel="0" collapsed="false">
      <c r="A16" s="4" t="s">
        <v>333</v>
      </c>
      <c r="B16" s="4" t="s">
        <v>6</v>
      </c>
      <c r="C16" s="4" t="s">
        <v>334</v>
      </c>
      <c r="D16" s="4" t="s">
        <v>335</v>
      </c>
      <c r="E16" s="4" t="s">
        <v>336</v>
      </c>
    </row>
    <row r="17" customFormat="false" ht="15" hidden="false" customHeight="false" outlineLevel="0" collapsed="false">
      <c r="A17" s="7" t="s">
        <v>322</v>
      </c>
      <c r="B17" s="7" t="s">
        <v>337</v>
      </c>
      <c r="C17" s="30" t="n">
        <v>268.5</v>
      </c>
      <c r="D17" s="30" t="n">
        <v>412.5</v>
      </c>
      <c r="E17" s="30" t="n">
        <v>42.5</v>
      </c>
    </row>
    <row r="18" customFormat="false" ht="15" hidden="false" customHeight="false" outlineLevel="0" collapsed="false">
      <c r="A18" s="7" t="s">
        <v>338</v>
      </c>
      <c r="B18" s="7" t="s">
        <v>339</v>
      </c>
      <c r="C18" s="31" t="n">
        <v>325.2</v>
      </c>
      <c r="D18" s="31" t="n">
        <v>498.5</v>
      </c>
      <c r="E18" s="31" t="n">
        <v>52.8</v>
      </c>
    </row>
    <row r="19" customFormat="false" ht="15" hidden="false" customHeight="false" outlineLevel="0" collapsed="false">
      <c r="A19" s="7" t="s">
        <v>340</v>
      </c>
      <c r="B19" s="7" t="s">
        <v>341</v>
      </c>
      <c r="C19" s="31" t="n">
        <v>395.8</v>
      </c>
      <c r="D19" s="31" t="n">
        <v>605.2</v>
      </c>
      <c r="E19" s="31" t="n">
        <v>65.2</v>
      </c>
    </row>
    <row r="20" customFormat="false" ht="15" hidden="false" customHeight="false" outlineLevel="0" collapsed="false">
      <c r="A20" s="7" t="s">
        <v>342</v>
      </c>
      <c r="B20" s="7" t="s">
        <v>343</v>
      </c>
      <c r="C20" s="31" t="n">
        <v>402.8</v>
      </c>
      <c r="D20" s="31" t="n">
        <v>618.8</v>
      </c>
      <c r="E20" s="31" t="n">
        <v>63.8</v>
      </c>
    </row>
    <row r="21" customFormat="false" ht="15" hidden="false" customHeight="false" outlineLevel="0" collapsed="false">
      <c r="A21" s="7" t="s">
        <v>344</v>
      </c>
      <c r="B21" s="7" t="s">
        <v>345</v>
      </c>
      <c r="C21" s="31" t="n">
        <v>312.5</v>
      </c>
      <c r="D21" s="31" t="n">
        <v>485.2</v>
      </c>
      <c r="E21" s="31" t="n">
        <v>55.2</v>
      </c>
    </row>
    <row r="22" customFormat="false" ht="15" hidden="false" customHeight="false" outlineLevel="0" collapsed="false">
      <c r="A22" s="7" t="s">
        <v>346</v>
      </c>
      <c r="B22" s="7" t="s">
        <v>347</v>
      </c>
      <c r="C22" s="31" t="n">
        <v>228.5</v>
      </c>
      <c r="D22" s="31" t="n">
        <v>352.8</v>
      </c>
      <c r="E22" s="31" t="n">
        <v>36.2</v>
      </c>
    </row>
    <row r="26" customFormat="false" ht="15" hidden="false" customHeight="false" outlineLevel="0" collapsed="false">
      <c r="A26" s="3" t="s">
        <v>348</v>
      </c>
    </row>
    <row r="28" customFormat="false" ht="28.35" hidden="false" customHeight="false" outlineLevel="0" collapsed="false">
      <c r="A28" s="4" t="s">
        <v>4</v>
      </c>
      <c r="B28" s="4" t="s">
        <v>349</v>
      </c>
      <c r="C28" s="4" t="s">
        <v>350</v>
      </c>
      <c r="D28" s="4" t="s">
        <v>351</v>
      </c>
    </row>
    <row r="29" customFormat="false" ht="15" hidden="false" customHeight="false" outlineLevel="0" collapsed="false">
      <c r="A29" s="7" t="s">
        <v>352</v>
      </c>
      <c r="B29" s="29" t="n">
        <v>0.0023</v>
      </c>
      <c r="C29" s="29" t="n">
        <v>0.0025</v>
      </c>
      <c r="D29" s="32" t="n">
        <f aca="false">B29-C29</f>
        <v>-0.0002</v>
      </c>
    </row>
    <row r="30" customFormat="false" ht="15" hidden="false" customHeight="false" outlineLevel="0" collapsed="false">
      <c r="A30" s="7" t="s">
        <v>353</v>
      </c>
      <c r="B30" s="29" t="n">
        <v>6.3</v>
      </c>
      <c r="C30" s="29" t="n">
        <v>6.5</v>
      </c>
      <c r="D30" s="32" t="n">
        <f aca="false">B30-C30</f>
        <v>-0.2</v>
      </c>
    </row>
    <row r="31" customFormat="false" ht="15" hidden="false" customHeight="false" outlineLevel="0" collapsed="false">
      <c r="A31" s="7" t="s">
        <v>354</v>
      </c>
      <c r="B31" s="29" t="n">
        <v>2</v>
      </c>
      <c r="C31" s="29" t="n">
        <v>1.8</v>
      </c>
      <c r="D31" s="32" t="n">
        <f aca="false">B31-C31</f>
        <v>0.2</v>
      </c>
    </row>
    <row r="32" customFormat="false" ht="15" hidden="false" customHeight="false" outlineLevel="0" collapsed="false">
      <c r="A32" s="7" t="s">
        <v>355</v>
      </c>
      <c r="B32" s="29" t="n">
        <v>0.8</v>
      </c>
      <c r="C32" s="29" t="n">
        <v>0.85</v>
      </c>
      <c r="D32" s="32" t="n">
        <f aca="false">B32-C32</f>
        <v>-0.0499999999999999</v>
      </c>
    </row>
    <row r="33" customFormat="false" ht="15" hidden="false" customHeight="false" outlineLevel="0" collapsed="false">
      <c r="A33" s="7" t="s">
        <v>356</v>
      </c>
      <c r="B33" s="29" t="n">
        <v>1</v>
      </c>
      <c r="C33" s="29" t="n">
        <v>0.95</v>
      </c>
      <c r="D33" s="32" t="n">
        <f aca="false">B33-C33</f>
        <v>0.05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7.35" hidden="false" customHeight="false" outlineLevel="0" collapsed="false">
      <c r="A1" s="13" t="s">
        <v>357</v>
      </c>
    </row>
    <row r="3" customFormat="false" ht="15" hidden="false" customHeight="false" outlineLevel="0" collapsed="false">
      <c r="A3" s="3" t="s">
        <v>358</v>
      </c>
    </row>
    <row r="5" customFormat="false" ht="15" hidden="false" customHeight="true" outlineLevel="0" collapsed="false">
      <c r="A5" s="33" t="s">
        <v>359</v>
      </c>
      <c r="B5" s="33"/>
      <c r="C5" s="33"/>
      <c r="D5" s="33"/>
      <c r="E5" s="33"/>
      <c r="F5" s="33"/>
      <c r="G5" s="33"/>
      <c r="H5" s="33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  <c r="G6" s="33"/>
      <c r="H6" s="33"/>
    </row>
    <row r="7" customFormat="false" ht="15" hidden="false" customHeight="false" outlineLevel="0" collapsed="false">
      <c r="A7" s="33"/>
      <c r="B7" s="33"/>
      <c r="C7" s="33"/>
      <c r="D7" s="33"/>
      <c r="E7" s="33"/>
      <c r="F7" s="33"/>
      <c r="G7" s="33"/>
      <c r="H7" s="33"/>
    </row>
    <row r="8" customFormat="false" ht="15" hidden="false" customHeight="false" outlineLevel="0" collapsed="false">
      <c r="A8" s="33"/>
      <c r="B8" s="33"/>
      <c r="C8" s="33"/>
      <c r="D8" s="33"/>
      <c r="E8" s="33"/>
      <c r="F8" s="33"/>
      <c r="G8" s="33"/>
      <c r="H8" s="33"/>
    </row>
    <row r="9" customFormat="false" ht="15" hidden="false" customHeight="false" outlineLevel="0" collapsed="false">
      <c r="A9" s="33"/>
      <c r="B9" s="33"/>
      <c r="C9" s="33"/>
      <c r="D9" s="33"/>
      <c r="E9" s="33"/>
      <c r="F9" s="33"/>
      <c r="G9" s="33"/>
      <c r="H9" s="33"/>
    </row>
    <row r="10" customFormat="false" ht="15" hidden="false" customHeight="false" outlineLevel="0" collapsed="false">
      <c r="A10" s="33"/>
      <c r="B10" s="33"/>
      <c r="C10" s="33"/>
      <c r="D10" s="33"/>
      <c r="E10" s="33"/>
      <c r="F10" s="33"/>
      <c r="G10" s="33"/>
      <c r="H10" s="33"/>
    </row>
    <row r="11" customFormat="false" ht="15" hidden="false" customHeight="false" outlineLevel="0" collapsed="false">
      <c r="A11" s="33"/>
      <c r="B11" s="33"/>
      <c r="C11" s="33"/>
      <c r="D11" s="33"/>
      <c r="E11" s="33"/>
      <c r="F11" s="33"/>
      <c r="G11" s="33"/>
      <c r="H11" s="33"/>
    </row>
    <row r="12" customFormat="false" ht="15" hidden="false" customHeight="false" outlineLevel="0" collapsed="false">
      <c r="A12" s="33"/>
      <c r="B12" s="33"/>
      <c r="C12" s="33"/>
      <c r="D12" s="33"/>
      <c r="E12" s="33"/>
      <c r="F12" s="33"/>
      <c r="G12" s="33"/>
      <c r="H12" s="33"/>
    </row>
    <row r="14" customFormat="false" ht="15" hidden="false" customHeight="false" outlineLevel="0" collapsed="false">
      <c r="A14" s="3" t="s">
        <v>360</v>
      </c>
    </row>
    <row r="16" customFormat="false" ht="15" hidden="false" customHeight="true" outlineLevel="0" collapsed="false">
      <c r="A16" s="33" t="s">
        <v>361</v>
      </c>
      <c r="B16" s="33"/>
      <c r="C16" s="33"/>
      <c r="D16" s="33"/>
      <c r="E16" s="33"/>
      <c r="F16" s="33"/>
      <c r="G16" s="33"/>
      <c r="H16" s="33"/>
    </row>
    <row r="17" customFormat="false" ht="15" hidden="false" customHeight="false" outlineLevel="0" collapsed="false">
      <c r="A17" s="33"/>
      <c r="B17" s="33"/>
      <c r="C17" s="33"/>
      <c r="D17" s="33"/>
      <c r="E17" s="33"/>
      <c r="F17" s="33"/>
      <c r="G17" s="33"/>
      <c r="H17" s="33"/>
    </row>
    <row r="18" customFormat="false" ht="15" hidden="false" customHeight="false" outlineLevel="0" collapsed="false">
      <c r="A18" s="33"/>
      <c r="B18" s="33"/>
      <c r="C18" s="33"/>
      <c r="D18" s="33"/>
      <c r="E18" s="33"/>
      <c r="F18" s="33"/>
      <c r="G18" s="33"/>
      <c r="H18" s="33"/>
    </row>
    <row r="19" customFormat="false" ht="15" hidden="false" customHeight="false" outlineLevel="0" collapsed="false">
      <c r="A19" s="33"/>
      <c r="B19" s="33"/>
      <c r="C19" s="33"/>
      <c r="D19" s="33"/>
      <c r="E19" s="33"/>
      <c r="F19" s="33"/>
      <c r="G19" s="33"/>
      <c r="H19" s="33"/>
    </row>
    <row r="20" customFormat="false" ht="15" hidden="false" customHeight="false" outlineLevel="0" collapsed="false">
      <c r="A20" s="33"/>
      <c r="B20" s="33"/>
      <c r="C20" s="33"/>
      <c r="D20" s="33"/>
      <c r="E20" s="33"/>
      <c r="F20" s="33"/>
      <c r="G20" s="33"/>
      <c r="H20" s="33"/>
    </row>
    <row r="21" customFormat="false" ht="15" hidden="false" customHeight="false" outlineLevel="0" collapsed="false">
      <c r="A21" s="33"/>
      <c r="B21" s="33"/>
      <c r="C21" s="33"/>
      <c r="D21" s="33"/>
      <c r="E21" s="33"/>
      <c r="F21" s="33"/>
      <c r="G21" s="33"/>
      <c r="H21" s="33"/>
    </row>
    <row r="22" customFormat="false" ht="15" hidden="false" customHeight="false" outlineLevel="0" collapsed="false">
      <c r="A22" s="33"/>
      <c r="B22" s="33"/>
      <c r="C22" s="33"/>
      <c r="D22" s="33"/>
      <c r="E22" s="33"/>
      <c r="F22" s="33"/>
      <c r="G22" s="33"/>
      <c r="H22" s="33"/>
    </row>
    <row r="24" customFormat="false" ht="15" hidden="false" customHeight="false" outlineLevel="0" collapsed="false">
      <c r="A24" s="3" t="s">
        <v>362</v>
      </c>
    </row>
    <row r="26" customFormat="false" ht="15" hidden="false" customHeight="true" outlineLevel="0" collapsed="false">
      <c r="A26" s="33" t="s">
        <v>363</v>
      </c>
      <c r="B26" s="33"/>
      <c r="C26" s="33"/>
      <c r="D26" s="33"/>
      <c r="E26" s="33"/>
      <c r="F26" s="33"/>
      <c r="G26" s="33"/>
      <c r="H26" s="33"/>
    </row>
    <row r="27" customFormat="false" ht="15" hidden="false" customHeight="false" outlineLevel="0" collapsed="false">
      <c r="A27" s="33"/>
      <c r="B27" s="33"/>
      <c r="C27" s="33"/>
      <c r="D27" s="33"/>
      <c r="E27" s="33"/>
      <c r="F27" s="33"/>
      <c r="G27" s="33"/>
      <c r="H27" s="33"/>
    </row>
    <row r="28" customFormat="false" ht="15" hidden="false" customHeight="false" outlineLevel="0" collapsed="false">
      <c r="A28" s="33"/>
      <c r="B28" s="33"/>
      <c r="C28" s="33"/>
      <c r="D28" s="33"/>
      <c r="E28" s="33"/>
      <c r="F28" s="33"/>
      <c r="G28" s="33"/>
      <c r="H28" s="33"/>
    </row>
    <row r="29" customFormat="false" ht="15" hidden="false" customHeight="false" outlineLevel="0" collapsed="false">
      <c r="A29" s="33"/>
      <c r="B29" s="33"/>
      <c r="C29" s="33"/>
      <c r="D29" s="33"/>
      <c r="E29" s="33"/>
      <c r="F29" s="33"/>
      <c r="G29" s="33"/>
      <c r="H29" s="33"/>
    </row>
    <row r="30" customFormat="false" ht="15" hidden="false" customHeight="false" outlineLevel="0" collapsed="false">
      <c r="A30" s="33"/>
      <c r="B30" s="33"/>
      <c r="C30" s="33"/>
      <c r="D30" s="33"/>
      <c r="E30" s="33"/>
      <c r="F30" s="33"/>
      <c r="G30" s="33"/>
      <c r="H30" s="33"/>
    </row>
    <row r="31" customFormat="false" ht="15" hidden="false" customHeight="false" outlineLevel="0" collapsed="false">
      <c r="A31" s="33"/>
      <c r="B31" s="33"/>
      <c r="C31" s="33"/>
      <c r="D31" s="33"/>
      <c r="E31" s="33"/>
      <c r="F31" s="33"/>
      <c r="G31" s="33"/>
      <c r="H31" s="33"/>
    </row>
    <row r="32" customFormat="false" ht="15" hidden="false" customHeight="false" outlineLevel="0" collapsed="false">
      <c r="A32" s="33"/>
      <c r="B32" s="33"/>
      <c r="C32" s="33"/>
      <c r="D32" s="33"/>
      <c r="E32" s="33"/>
      <c r="F32" s="33"/>
      <c r="G32" s="33"/>
      <c r="H32" s="33"/>
    </row>
    <row r="33" customFormat="false" ht="15" hidden="false" customHeight="false" outlineLevel="0" collapsed="false">
      <c r="A33" s="33"/>
      <c r="B33" s="33"/>
      <c r="C33" s="33"/>
      <c r="D33" s="33"/>
      <c r="E33" s="33"/>
      <c r="F33" s="33"/>
      <c r="G33" s="33"/>
      <c r="H33" s="33"/>
    </row>
    <row r="34" customFormat="false" ht="15" hidden="false" customHeight="false" outlineLevel="0" collapsed="false">
      <c r="A34" s="33"/>
      <c r="B34" s="33"/>
      <c r="C34" s="33"/>
      <c r="D34" s="33"/>
      <c r="E34" s="33"/>
      <c r="F34" s="33"/>
      <c r="G34" s="33"/>
      <c r="H34" s="33"/>
    </row>
    <row r="36" customFormat="false" ht="15" hidden="false" customHeight="false" outlineLevel="0" collapsed="false">
      <c r="A36" s="3" t="s">
        <v>364</v>
      </c>
    </row>
    <row r="38" customFormat="false" ht="15" hidden="false" customHeight="true" outlineLevel="0" collapsed="false">
      <c r="A38" s="33" t="s">
        <v>365</v>
      </c>
      <c r="B38" s="33"/>
      <c r="C38" s="33"/>
      <c r="D38" s="33"/>
      <c r="E38" s="33"/>
      <c r="F38" s="33"/>
      <c r="G38" s="33"/>
      <c r="H38" s="33"/>
    </row>
    <row r="39" customFormat="false" ht="15" hidden="false" customHeight="false" outlineLevel="0" collapsed="false">
      <c r="A39" s="33"/>
      <c r="B39" s="33"/>
      <c r="C39" s="33"/>
      <c r="D39" s="33"/>
      <c r="E39" s="33"/>
      <c r="F39" s="33"/>
      <c r="G39" s="33"/>
      <c r="H39" s="33"/>
    </row>
    <row r="40" customFormat="false" ht="15" hidden="false" customHeight="false" outlineLevel="0" collapsed="false">
      <c r="A40" s="33"/>
      <c r="B40" s="33"/>
      <c r="C40" s="33"/>
      <c r="D40" s="33"/>
      <c r="E40" s="33"/>
      <c r="F40" s="33"/>
      <c r="G40" s="33"/>
      <c r="H40" s="33"/>
    </row>
    <row r="41" customFormat="false" ht="15" hidden="false" customHeight="false" outlineLevel="0" collapsed="false">
      <c r="A41" s="33"/>
      <c r="B41" s="33"/>
      <c r="C41" s="33"/>
      <c r="D41" s="33"/>
      <c r="E41" s="33"/>
      <c r="F41" s="33"/>
      <c r="G41" s="33"/>
      <c r="H41" s="33"/>
    </row>
    <row r="42" customFormat="false" ht="15" hidden="false" customHeight="false" outlineLevel="0" collapsed="false">
      <c r="A42" s="33"/>
      <c r="B42" s="33"/>
      <c r="C42" s="33"/>
      <c r="D42" s="33"/>
      <c r="E42" s="33"/>
      <c r="F42" s="33"/>
      <c r="G42" s="33"/>
      <c r="H42" s="33"/>
    </row>
  </sheetData>
  <mergeCells count="4">
    <mergeCell ref="A5:H12"/>
    <mergeCell ref="A16:H22"/>
    <mergeCell ref="A26:H34"/>
    <mergeCell ref="A38:H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2026-02-04T02:04:10Z</dcterms:created>
  <dc:creator>openpyxl</dc:creator>
  <dc:description/>
  <dc:language>en-US</dc:language>
  <cp:lastModifiedBy/>
  <dcterms:modified xsi:type="dcterms:W3CDTF">2026-02-04T02:04:10Z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